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E89A" lockStructure="1"/>
  <bookViews>
    <workbookView windowWidth="21094" windowHeight="9805"/>
  </bookViews>
  <sheets>
    <sheet name="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<sst xmlns="http://schemas.openxmlformats.org/spreadsheetml/2006/main" count="304" uniqueCount="187">
  <si>
    <t>姓名：</t>
  </si>
  <si>
    <t>工作单位：</t>
  </si>
  <si>
    <t>专业：</t>
  </si>
  <si>
    <t>信息技术专业高级工程师职务任职资格量化评分表</t>
  </si>
  <si>
    <t>评价指标</t>
  </si>
  <si>
    <t>一级指标</t>
  </si>
  <si>
    <t>二级指标</t>
  </si>
  <si>
    <t>三级指标</t>
  </si>
  <si>
    <t>四级指标</t>
  </si>
  <si>
    <t>最高分值</t>
  </si>
  <si>
    <t>打分说明</t>
  </si>
  <si>
    <t>备注</t>
  </si>
  <si>
    <t>个、次、年、项、件数，（申报人填写，除灰色格子）</t>
  </si>
  <si>
    <t>自评分
(申报人填写，除灰色格子）</t>
  </si>
  <si>
    <t>自评分合计</t>
  </si>
  <si>
    <t>符合情况描述</t>
  </si>
  <si>
    <t>系统佐证目录（可根据实际情况更改）</t>
  </si>
  <si>
    <t xml:space="preserve">职业
道德
（10分）
</t>
  </si>
  <si>
    <t>敬业爱岗（10分）</t>
  </si>
  <si>
    <t>获劳模、五一劳动奖章、先进工作者等荣誉称号</t>
  </si>
  <si>
    <t>国家级</t>
  </si>
  <si>
    <t>不累计计分，
其他类的荣誉称号由专家认定</t>
  </si>
  <si>
    <t>获得荣誉称号情况</t>
  </si>
  <si>
    <t>省、部级</t>
  </si>
  <si>
    <t>地、市级</t>
  </si>
  <si>
    <t>县、区级</t>
  </si>
  <si>
    <t>其   他</t>
  </si>
  <si>
    <t>近五年个人年度考核</t>
  </si>
  <si>
    <t>三年及以上优秀</t>
  </si>
  <si>
    <t>不累计计分</t>
  </si>
  <si>
    <t>考核情况</t>
  </si>
  <si>
    <t>二年优秀</t>
  </si>
  <si>
    <t>一年优秀</t>
  </si>
  <si>
    <t>职业道德得分</t>
  </si>
  <si>
    <t xml:space="preserve">学术
技术
成果
和
工作
业绩
（60分）
</t>
  </si>
  <si>
    <t>项目、产品、维护（60分）</t>
  </si>
  <si>
    <t>一级项目、产品、维护</t>
  </si>
  <si>
    <t>主持</t>
  </si>
  <si>
    <t>最高分值由项目等级限定，具体见附件2</t>
  </si>
  <si>
    <t>50n</t>
  </si>
  <si>
    <t>各专业各级项目、产品、维护等级见附4；
团队人员仅限技术人员，后勤等辅助人员不计入；
n为项目、产品、维护个数，n≤5</t>
  </si>
  <si>
    <t>主持参与工程技术项目情况
主持参与科研项目（基金）情况</t>
  </si>
  <si>
    <t>二级项目、产品、维护</t>
  </si>
  <si>
    <t>30n</t>
  </si>
  <si>
    <t>三级项目、产品、维护</t>
  </si>
  <si>
    <t>20n</t>
  </si>
  <si>
    <t>四级项目、产品、维护</t>
  </si>
  <si>
    <t>10n</t>
  </si>
  <si>
    <t>其他项目、产品、维护</t>
  </si>
  <si>
    <t>5n</t>
  </si>
  <si>
    <t>主要参与</t>
  </si>
  <si>
    <t>15n</t>
  </si>
  <si>
    <t>2n</t>
  </si>
  <si>
    <t>获奖
（60分）</t>
  </si>
  <si>
    <t>国家级科学技术奖</t>
  </si>
  <si>
    <t>一等奖</t>
  </si>
  <si>
    <t>前5名</t>
  </si>
  <si>
    <t>标志性业绩申报</t>
  </si>
  <si>
    <t>获奖情况</t>
  </si>
  <si>
    <t>二等奖</t>
  </si>
  <si>
    <t>其他</t>
  </si>
  <si>
    <t>40n</t>
  </si>
  <si>
    <t>n为获奖项数</t>
  </si>
  <si>
    <t>省级科学技术奖</t>
  </si>
  <si>
    <t>三等奖</t>
  </si>
  <si>
    <t>市级科学技术奖</t>
  </si>
  <si>
    <t>6n</t>
  </si>
  <si>
    <t>3n</t>
  </si>
  <si>
    <t>行业技术奖项</t>
  </si>
  <si>
    <t>前3名</t>
  </si>
  <si>
    <t xml:space="preserve">信息安全类CTF比赛等同此项，n为获奖项数
</t>
  </si>
  <si>
    <t>省部级</t>
  </si>
  <si>
    <t>地市级</t>
  </si>
  <si>
    <t>1n</t>
  </si>
  <si>
    <t>知识
产权
（60分）</t>
  </si>
  <si>
    <t>专利</t>
  </si>
  <si>
    <t>发明专利</t>
  </si>
  <si>
    <t>第一发明人</t>
  </si>
  <si>
    <t>8n</t>
  </si>
  <si>
    <t>n为专利数</t>
  </si>
  <si>
    <t>专利情况</t>
  </si>
  <si>
    <t>主要发明人</t>
  </si>
  <si>
    <t>其他专利</t>
  </si>
  <si>
    <t>0.5n</t>
  </si>
  <si>
    <t>软件著作权</t>
  </si>
  <si>
    <t>n为件数</t>
  </si>
  <si>
    <t>著作权情况</t>
  </si>
  <si>
    <t>标准制订</t>
  </si>
  <si>
    <t>国际</t>
  </si>
  <si>
    <t>第一起草人</t>
  </si>
  <si>
    <t>主持（参与）制定标准情况</t>
  </si>
  <si>
    <t>国家、行业</t>
  </si>
  <si>
    <t>地方</t>
  </si>
  <si>
    <t>n为标准件数，n≤5</t>
  </si>
  <si>
    <t>省级以上团体</t>
  </si>
  <si>
    <t>主要起草人</t>
  </si>
  <si>
    <t>漏洞
挖掘
（60分）</t>
  </si>
  <si>
    <t>国际认可</t>
  </si>
  <si>
    <t>CVE高危漏洞</t>
  </si>
  <si>
    <t>第一或单人</t>
  </si>
  <si>
    <t>信息安全专业项，n为漏洞个数</t>
  </si>
  <si>
    <t>申报材料附件信息——漏洞挖掘</t>
  </si>
  <si>
    <t>第二、三名</t>
  </si>
  <si>
    <t>国内认可</t>
  </si>
  <si>
    <t>CNVD高危漏洞、CNNVD高危漏洞</t>
  </si>
  <si>
    <t>0.2n</t>
  </si>
  <si>
    <t>漏洞挖掘荣誉证书</t>
  </si>
  <si>
    <t>知名IT互联网企业年度前三</t>
  </si>
  <si>
    <t>第一名</t>
  </si>
  <si>
    <t>知名IT互联网企业官方应急响应中心荣誉，n为证书个数</t>
  </si>
  <si>
    <t>第二名</t>
  </si>
  <si>
    <t>第三名</t>
  </si>
  <si>
    <t>论文（10分）</t>
  </si>
  <si>
    <t>A类期刊</t>
  </si>
  <si>
    <t>第一或通讯作者</t>
  </si>
  <si>
    <t xml:space="preserve">
仅限工作期间发表的论文，毕业论文不计分；n为论文数
期刊分类详见附5</t>
  </si>
  <si>
    <t>论文
著（译）作（教材）</t>
  </si>
  <si>
    <t>前三名</t>
  </si>
  <si>
    <t>B类期刊</t>
  </si>
  <si>
    <t>C类期刊</t>
  </si>
  <si>
    <t>学术技术成果和工作业绩得分</t>
  </si>
  <si>
    <t xml:space="preserve">专业
技术
水平
（20分）
</t>
  </si>
  <si>
    <t>学历（5分）</t>
  </si>
  <si>
    <t>博士</t>
  </si>
  <si>
    <t>本专业</t>
  </si>
  <si>
    <t>取最高分，不累计计分；本专业为信息技术相关专业</t>
  </si>
  <si>
    <t>教育经历</t>
  </si>
  <si>
    <t>非本专业</t>
  </si>
  <si>
    <t>硕士</t>
  </si>
  <si>
    <t>资历（15分）</t>
  </si>
  <si>
    <t>技术工作年限</t>
  </si>
  <si>
    <t>n为年份</t>
  </si>
  <si>
    <t>工作经历</t>
  </si>
  <si>
    <t>技术副总经理</t>
  </si>
  <si>
    <t>一级企业</t>
  </si>
  <si>
    <t>企业等级见附6
取最高分，
不累计计分</t>
  </si>
  <si>
    <t>二级企业</t>
  </si>
  <si>
    <t>三级企业</t>
  </si>
  <si>
    <t>四级企业</t>
  </si>
  <si>
    <t>技术总监</t>
  </si>
  <si>
    <t>技术部门或研发部门经理、企业级技术骨干（限5人）</t>
  </si>
  <si>
    <t>产品或项目技术总负责人</t>
  </si>
  <si>
    <t>资质证书（5分）</t>
  </si>
  <si>
    <t>高级证书</t>
  </si>
  <si>
    <t>2.5n</t>
  </si>
  <si>
    <t>n为证书数，各专业、各级别证书可累计
证书分类见附3</t>
  </si>
  <si>
    <t>资质证书</t>
  </si>
  <si>
    <t>中级证书</t>
  </si>
  <si>
    <t>初级证书</t>
  </si>
  <si>
    <t>专业技术水平得分</t>
  </si>
  <si>
    <t xml:space="preserve">行业
影响力（10）
</t>
  </si>
  <si>
    <t>社会
兼职
（10分）</t>
  </si>
  <si>
    <t>社会团体</t>
  </si>
  <si>
    <t>主要负责人</t>
  </si>
  <si>
    <t>社会团体兼职时间须2年以上；
主要负责人指副理事长以上。取最高得分</t>
  </si>
  <si>
    <t>学术技术兼职情况</t>
  </si>
  <si>
    <t>常务理事、理事、秘书长</t>
  </si>
  <si>
    <t>省级</t>
  </si>
  <si>
    <t>行业专家库成员</t>
  </si>
  <si>
    <t>国家级部门</t>
  </si>
  <si>
    <t>政府部门发文、颁发的聘书或出具证明。取最高得分</t>
  </si>
  <si>
    <t>省级部门</t>
  </si>
  <si>
    <t>地市级部门</t>
  </si>
  <si>
    <t>区县级部门</t>
  </si>
  <si>
    <t>院校
兼职
（7分）</t>
  </si>
  <si>
    <t>著名院校（985高校）</t>
  </si>
  <si>
    <t>校聘兼职教授</t>
  </si>
  <si>
    <t>校聘兼职导师、兼职讲师</t>
  </si>
  <si>
    <t>院校兼职时间须1年以上，著名院校及一般本科院校可以提供院聘证明材料，其他高校必须提供校聘证明材料（学校公章或学校人事部门盖章）。取最高得分</t>
  </si>
  <si>
    <t>院聘兼职导师、兼职讲师</t>
  </si>
  <si>
    <t>访问学者</t>
  </si>
  <si>
    <t>一般本科院校</t>
  </si>
  <si>
    <t>其他高校</t>
  </si>
  <si>
    <t>学术、技术讲座
（10分）</t>
  </si>
  <si>
    <t>会议报告</t>
  </si>
  <si>
    <t>重要国际会议/国内著名会议</t>
  </si>
  <si>
    <t>重要国际会议参考清华大学《重要国际会议目录（2023年）》，后续更新以最新版本为准；
国内著名会议是指以“全球”、“世界”、“国际”、“全国”、“中国”命名的行业会议，或营收规模100亿元以上的企业举办的行业知名会议。
其他会议为国内一般会议；
n为讲座次数</t>
  </si>
  <si>
    <t>申报材料附件信息——学术、技术讲座</t>
  </si>
  <si>
    <t>国内一般会议</t>
  </si>
  <si>
    <t>培训授课</t>
  </si>
  <si>
    <t>国内机构</t>
  </si>
  <si>
    <r>
      <rPr>
        <sz val="11"/>
        <color theme="1"/>
        <rFont val="宋体"/>
        <charset val="134"/>
      </rPr>
      <t>n</t>
    </r>
    <r>
      <rPr>
        <sz val="12"/>
        <color theme="1"/>
        <rFont val="仿宋_GB2312"/>
        <charset val="134"/>
      </rPr>
      <t>为机构数</t>
    </r>
  </si>
  <si>
    <t>企业培训</t>
  </si>
  <si>
    <r>
      <rPr>
        <sz val="11"/>
        <color theme="1"/>
        <rFont val="宋体"/>
        <charset val="134"/>
      </rPr>
      <t>n</t>
    </r>
    <r>
      <rPr>
        <sz val="12"/>
        <color theme="1"/>
        <rFont val="仿宋_GB2312"/>
        <charset val="134"/>
      </rPr>
      <t>为授课次数</t>
    </r>
  </si>
  <si>
    <t>行业影响力得分</t>
  </si>
  <si>
    <t>总分</t>
  </si>
  <si>
    <t>注：在填写数据时，如需删除单元格数据建议用“Backspace”或“Delete”键；如果通过“空格”键进行删除操作，对应分值会出现乱码或弹出“超出取值范围”警示框，请按“Backspace”或“Delete”键再进行一次删除操作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</si>
</sst>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Protection="1">
      <alignment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0" fontId="2" fillId="3" borderId="1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3"/>
  <sheetViews>
    <sheetView tabSelected="1" workbookViewId="0">
      <selection activeCell="A1" sqref="A1:D1"/>
    </sheetView>
  </sheetViews>
  <sheetFormatPr defaultColWidth="9" defaultRowHeight="14.1"/>
  <cols>
    <col min="1" max="1" width="9.375" style="2" customWidth="1"/>
    <col min="2" max="2" width="9.875" style="2" customWidth="1"/>
    <col min="3" max="3" width="10.375" style="2" customWidth="1"/>
    <col min="4" max="4" width="9.125" style="2" customWidth="1"/>
    <col min="5" max="7" width="8.625" style="2" customWidth="1"/>
    <col min="8" max="8" width="15.75" style="2" customWidth="1"/>
    <col min="9" max="9" width="11.625" style="2" customWidth="1"/>
    <col min="10" max="10" width="14.5" style="2" customWidth="1"/>
    <col min="11" max="11" width="19.375" style="2" customWidth="1"/>
    <col min="12" max="12" width="15" style="2" customWidth="1"/>
    <col min="13" max="13" width="17" style="3" customWidth="1"/>
    <col min="14" max="16384" width="9" style="2"/>
  </cols>
  <sheetData>
    <row r="1" ht="29.25" customHeight="1" spans="1:13">
      <c r="A1" s="4" t="s">
        <v>0</v>
      </c>
      <c r="B1" s="4"/>
      <c r="C1" s="4"/>
      <c r="D1" s="4"/>
      <c r="E1" s="4" t="s">
        <v>1</v>
      </c>
      <c r="F1" s="4"/>
      <c r="G1" s="4"/>
      <c r="H1" s="4"/>
      <c r="I1" s="4"/>
      <c r="J1" s="4"/>
      <c r="K1" s="4" t="s">
        <v>2</v>
      </c>
      <c r="L1" s="4"/>
      <c r="M1" s="4"/>
    </row>
    <row r="3" ht="42.75" customHeight="1" spans="1:13">
      <c r="A3" s="5" t="s">
        <v>3</v>
      </c>
      <c r="B3" s="5"/>
      <c r="C3" s="5"/>
      <c r="D3" s="5"/>
      <c r="E3" s="5"/>
      <c r="F3" s="5"/>
      <c r="G3" s="5"/>
      <c r="H3" s="5"/>
      <c r="I3" s="6"/>
      <c r="J3" s="5"/>
      <c r="K3" s="5"/>
      <c r="L3" s="5"/>
      <c r="M3" s="5"/>
    </row>
    <row r="4" s="1" customFormat="1" ht="75" customHeight="1" spans="1:13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9" t="s">
        <v>16</v>
      </c>
    </row>
    <row r="5" ht="39.95" customHeight="1" spans="1:13">
      <c r="A5" s="10" t="s">
        <v>17</v>
      </c>
      <c r="B5" s="11" t="s">
        <v>18</v>
      </c>
      <c r="C5" s="12" t="s">
        <v>19</v>
      </c>
      <c r="D5" s="11" t="s">
        <v>20</v>
      </c>
      <c r="E5" s="11"/>
      <c r="F5" s="11">
        <v>10</v>
      </c>
      <c r="G5" s="11"/>
      <c r="H5" s="12" t="s">
        <v>21</v>
      </c>
      <c r="I5" s="13"/>
      <c r="J5" s="14"/>
      <c r="K5" s="15">
        <f>MAX(J5:J9)</f>
        <v>0</v>
      </c>
      <c r="L5" s="16"/>
      <c r="M5" s="17" t="s">
        <v>22</v>
      </c>
    </row>
    <row r="6" ht="39.95" customHeight="1" spans="1:13">
      <c r="A6" s="18"/>
      <c r="B6" s="11"/>
      <c r="C6" s="19"/>
      <c r="D6" s="11" t="s">
        <v>23</v>
      </c>
      <c r="E6" s="11"/>
      <c r="F6" s="11">
        <v>8</v>
      </c>
      <c r="G6" s="11"/>
      <c r="H6" s="19"/>
      <c r="I6" s="13"/>
      <c r="J6" s="14"/>
      <c r="K6" s="20"/>
      <c r="L6" s="16"/>
      <c r="M6" s="21"/>
    </row>
    <row r="7" ht="39.95" customHeight="1" spans="1:13">
      <c r="A7" s="18"/>
      <c r="B7" s="11"/>
      <c r="C7" s="19"/>
      <c r="D7" s="11" t="s">
        <v>24</v>
      </c>
      <c r="E7" s="11"/>
      <c r="F7" s="11">
        <v>6</v>
      </c>
      <c r="G7" s="11"/>
      <c r="H7" s="19"/>
      <c r="I7" s="13"/>
      <c r="J7" s="14"/>
      <c r="K7" s="20"/>
      <c r="L7" s="16"/>
      <c r="M7" s="21"/>
    </row>
    <row r="8" ht="39.95" customHeight="1" spans="1:13">
      <c r="A8" s="18"/>
      <c r="B8" s="11"/>
      <c r="C8" s="19"/>
      <c r="D8" s="11" t="s">
        <v>25</v>
      </c>
      <c r="E8" s="11"/>
      <c r="F8" s="11">
        <v>4</v>
      </c>
      <c r="G8" s="11"/>
      <c r="H8" s="19"/>
      <c r="I8" s="13"/>
      <c r="J8" s="14"/>
      <c r="K8" s="20"/>
      <c r="L8" s="16"/>
      <c r="M8" s="21"/>
    </row>
    <row r="9" ht="39.95" customHeight="1" spans="1:13">
      <c r="A9" s="18"/>
      <c r="B9" s="11"/>
      <c r="C9" s="22"/>
      <c r="D9" s="11" t="s">
        <v>26</v>
      </c>
      <c r="E9" s="11"/>
      <c r="F9" s="11">
        <v>2</v>
      </c>
      <c r="G9" s="11"/>
      <c r="H9" s="22"/>
      <c r="I9" s="13"/>
      <c r="J9" s="14"/>
      <c r="K9" s="23"/>
      <c r="L9" s="16"/>
      <c r="M9" s="24"/>
    </row>
    <row r="10" ht="39.95" customHeight="1" spans="1:13">
      <c r="A10" s="18"/>
      <c r="B10" s="11"/>
      <c r="C10" s="11" t="s">
        <v>27</v>
      </c>
      <c r="D10" s="11" t="s">
        <v>28</v>
      </c>
      <c r="E10" s="11"/>
      <c r="F10" s="11">
        <v>3</v>
      </c>
      <c r="G10" s="11"/>
      <c r="H10" s="11" t="s">
        <v>29</v>
      </c>
      <c r="I10" s="13"/>
      <c r="J10" s="14"/>
      <c r="K10" s="15">
        <f>MAX(J10:J12)</f>
        <v>0</v>
      </c>
      <c r="L10" s="16"/>
      <c r="M10" s="17" t="s">
        <v>30</v>
      </c>
    </row>
    <row r="11" ht="39.95" customHeight="1" spans="1:13">
      <c r="A11" s="18"/>
      <c r="B11" s="11"/>
      <c r="C11" s="11"/>
      <c r="D11" s="11" t="s">
        <v>31</v>
      </c>
      <c r="E11" s="11"/>
      <c r="F11" s="11">
        <v>2</v>
      </c>
      <c r="G11" s="11"/>
      <c r="H11" s="11"/>
      <c r="I11" s="13"/>
      <c r="J11" s="14"/>
      <c r="K11" s="20"/>
      <c r="L11" s="16"/>
      <c r="M11" s="21"/>
    </row>
    <row r="12" ht="39.95" customHeight="1" spans="1:13">
      <c r="A12" s="25"/>
      <c r="B12" s="11"/>
      <c r="C12" s="11"/>
      <c r="D12" s="11" t="s">
        <v>32</v>
      </c>
      <c r="E12" s="11"/>
      <c r="F12" s="11">
        <v>1</v>
      </c>
      <c r="G12" s="11"/>
      <c r="H12" s="11"/>
      <c r="I12" s="13"/>
      <c r="J12" s="14"/>
      <c r="K12" s="23"/>
      <c r="L12" s="16"/>
      <c r="M12" s="24"/>
    </row>
    <row r="13" ht="39.95" customHeight="1" spans="1:13">
      <c r="A13" s="26" t="s">
        <v>33</v>
      </c>
      <c r="B13" s="27"/>
      <c r="C13" s="27"/>
      <c r="D13" s="27"/>
      <c r="E13" s="27"/>
      <c r="F13" s="27"/>
      <c r="G13" s="27"/>
      <c r="H13" s="27"/>
      <c r="I13" s="27"/>
      <c r="J13" s="27"/>
      <c r="K13" s="28">
        <f>MIN(10,(K5+K10))</f>
        <v>0</v>
      </c>
      <c r="L13" s="29"/>
      <c r="M13" s="30"/>
    </row>
    <row r="14" ht="39.95" customHeight="1" spans="1:13">
      <c r="A14" s="10" t="s">
        <v>34</v>
      </c>
      <c r="B14" s="11" t="s">
        <v>35</v>
      </c>
      <c r="C14" s="11"/>
      <c r="D14" s="11" t="s">
        <v>36</v>
      </c>
      <c r="E14" s="11" t="s">
        <v>37</v>
      </c>
      <c r="F14" s="12" t="s">
        <v>38</v>
      </c>
      <c r="G14" s="11" t="s">
        <v>39</v>
      </c>
      <c r="H14" s="11" t="s">
        <v>40</v>
      </c>
      <c r="I14" s="14"/>
      <c r="J14" s="13">
        <f>MIN(60,I14*50)</f>
        <v>0</v>
      </c>
      <c r="K14" s="15">
        <f>MIN(IF(I14&gt;0,60,IF((I15+I19)&gt;0,50,IF((I16+I20)&gt;0,40,30))),SUM(J14:J23))</f>
        <v>0</v>
      </c>
      <c r="L14" s="16"/>
      <c r="M14" s="17" t="s">
        <v>41</v>
      </c>
    </row>
    <row r="15" ht="39.95" customHeight="1" spans="1:13">
      <c r="A15" s="18"/>
      <c r="B15" s="11"/>
      <c r="C15" s="11"/>
      <c r="D15" s="11" t="s">
        <v>42</v>
      </c>
      <c r="E15" s="11"/>
      <c r="F15" s="19"/>
      <c r="G15" s="11" t="s">
        <v>43</v>
      </c>
      <c r="H15" s="11"/>
      <c r="I15" s="14"/>
      <c r="J15" s="13">
        <f>MIN(50,I15*30)</f>
        <v>0</v>
      </c>
      <c r="K15" s="20"/>
      <c r="L15" s="16"/>
      <c r="M15" s="21"/>
    </row>
    <row r="16" ht="39.95" customHeight="1" spans="1:13">
      <c r="A16" s="18"/>
      <c r="B16" s="11"/>
      <c r="C16" s="11"/>
      <c r="D16" s="11" t="s">
        <v>44</v>
      </c>
      <c r="E16" s="11"/>
      <c r="F16" s="19"/>
      <c r="G16" s="11" t="s">
        <v>45</v>
      </c>
      <c r="H16" s="11"/>
      <c r="I16" s="14"/>
      <c r="J16" s="13">
        <f>MIN(40,I16*20)</f>
        <v>0</v>
      </c>
      <c r="K16" s="20"/>
      <c r="L16" s="16"/>
      <c r="M16" s="21"/>
    </row>
    <row r="17" ht="39.95" customHeight="1" spans="1:13">
      <c r="A17" s="18"/>
      <c r="B17" s="11"/>
      <c r="C17" s="11"/>
      <c r="D17" s="11" t="s">
        <v>46</v>
      </c>
      <c r="E17" s="11"/>
      <c r="F17" s="19"/>
      <c r="G17" s="11" t="s">
        <v>47</v>
      </c>
      <c r="H17" s="11"/>
      <c r="I17" s="14"/>
      <c r="J17" s="13">
        <f>MIN(30,I17*10)</f>
        <v>0</v>
      </c>
      <c r="K17" s="20"/>
      <c r="L17" s="16"/>
      <c r="M17" s="21"/>
    </row>
    <row r="18" ht="39.95" customHeight="1" spans="1:13">
      <c r="A18" s="18"/>
      <c r="B18" s="11"/>
      <c r="C18" s="11"/>
      <c r="D18" s="11" t="s">
        <v>48</v>
      </c>
      <c r="E18" s="11"/>
      <c r="F18" s="19"/>
      <c r="G18" s="11" t="s">
        <v>49</v>
      </c>
      <c r="H18" s="11"/>
      <c r="I18" s="14"/>
      <c r="J18" s="13">
        <f>MIN(30,I18*5)</f>
        <v>0</v>
      </c>
      <c r="K18" s="20"/>
      <c r="L18" s="16"/>
      <c r="M18" s="21"/>
    </row>
    <row r="19" ht="39.95" customHeight="1" spans="1:13">
      <c r="A19" s="18"/>
      <c r="B19" s="11"/>
      <c r="C19" s="11"/>
      <c r="D19" s="11" t="s">
        <v>36</v>
      </c>
      <c r="E19" s="11" t="s">
        <v>50</v>
      </c>
      <c r="F19" s="19"/>
      <c r="G19" s="11" t="s">
        <v>45</v>
      </c>
      <c r="H19" s="11"/>
      <c r="I19" s="14"/>
      <c r="J19" s="13">
        <f>MIN(50,I19*20)</f>
        <v>0</v>
      </c>
      <c r="K19" s="20"/>
      <c r="L19" s="16"/>
      <c r="M19" s="21"/>
    </row>
    <row r="20" ht="39.95" customHeight="1" spans="1:13">
      <c r="A20" s="18"/>
      <c r="B20" s="11"/>
      <c r="C20" s="11"/>
      <c r="D20" s="11" t="s">
        <v>42</v>
      </c>
      <c r="E20" s="11"/>
      <c r="F20" s="19"/>
      <c r="G20" s="11" t="s">
        <v>51</v>
      </c>
      <c r="H20" s="11"/>
      <c r="I20" s="14"/>
      <c r="J20" s="13">
        <f>MIN(40,I20*15)</f>
        <v>0</v>
      </c>
      <c r="K20" s="20"/>
      <c r="L20" s="16"/>
      <c r="M20" s="21"/>
    </row>
    <row r="21" ht="39.95" customHeight="1" spans="1:13">
      <c r="A21" s="18"/>
      <c r="B21" s="11"/>
      <c r="C21" s="11"/>
      <c r="D21" s="11" t="s">
        <v>44</v>
      </c>
      <c r="E21" s="11"/>
      <c r="F21" s="19"/>
      <c r="G21" s="11" t="s">
        <v>47</v>
      </c>
      <c r="H21" s="11"/>
      <c r="I21" s="14"/>
      <c r="J21" s="13">
        <f>MIN(30,I21*10)</f>
        <v>0</v>
      </c>
      <c r="K21" s="20"/>
      <c r="L21" s="16"/>
      <c r="M21" s="21"/>
    </row>
    <row r="22" ht="39.95" customHeight="1" spans="1:13">
      <c r="A22" s="18"/>
      <c r="B22" s="11"/>
      <c r="C22" s="11"/>
      <c r="D22" s="11" t="s">
        <v>46</v>
      </c>
      <c r="E22" s="11"/>
      <c r="F22" s="19"/>
      <c r="G22" s="11" t="s">
        <v>49</v>
      </c>
      <c r="H22" s="11"/>
      <c r="I22" s="14"/>
      <c r="J22" s="13">
        <f>MIN(30,I22*5)</f>
        <v>0</v>
      </c>
      <c r="K22" s="20"/>
      <c r="L22" s="16"/>
      <c r="M22" s="21"/>
    </row>
    <row r="23" ht="39.95" customHeight="1" spans="1:13">
      <c r="A23" s="18"/>
      <c r="B23" s="11"/>
      <c r="C23" s="11"/>
      <c r="D23" s="11" t="s">
        <v>48</v>
      </c>
      <c r="E23" s="11"/>
      <c r="F23" s="22"/>
      <c r="G23" s="11" t="s">
        <v>52</v>
      </c>
      <c r="H23" s="11"/>
      <c r="I23" s="14"/>
      <c r="J23" s="13">
        <f>MIN(30,I23*2)</f>
        <v>0</v>
      </c>
      <c r="K23" s="23"/>
      <c r="L23" s="16"/>
      <c r="M23" s="24"/>
    </row>
    <row r="24" ht="39.95" customHeight="1" spans="1:13">
      <c r="A24" s="18"/>
      <c r="B24" s="11" t="s">
        <v>53</v>
      </c>
      <c r="C24" s="11" t="s">
        <v>54</v>
      </c>
      <c r="D24" s="11" t="s">
        <v>55</v>
      </c>
      <c r="E24" s="11" t="s">
        <v>56</v>
      </c>
      <c r="F24" s="11"/>
      <c r="G24" s="11"/>
      <c r="H24" s="11" t="s">
        <v>57</v>
      </c>
      <c r="I24" s="31"/>
      <c r="J24" s="31"/>
      <c r="K24" s="31"/>
      <c r="L24" s="16"/>
      <c r="M24" s="17" t="s">
        <v>58</v>
      </c>
    </row>
    <row r="25" ht="39.95" customHeight="1" spans="1:13">
      <c r="A25" s="18"/>
      <c r="B25" s="11"/>
      <c r="C25" s="11"/>
      <c r="D25" s="11" t="s">
        <v>59</v>
      </c>
      <c r="E25" s="11"/>
      <c r="F25" s="11"/>
      <c r="G25" s="11"/>
      <c r="H25" s="11"/>
      <c r="I25" s="32"/>
      <c r="J25" s="32"/>
      <c r="K25" s="32"/>
      <c r="L25" s="16"/>
      <c r="M25" s="21"/>
    </row>
    <row r="26" ht="39.95" customHeight="1" spans="1:13">
      <c r="A26" s="18"/>
      <c r="B26" s="11"/>
      <c r="C26" s="11"/>
      <c r="D26" s="11" t="s">
        <v>55</v>
      </c>
      <c r="E26" s="11" t="s">
        <v>60</v>
      </c>
      <c r="F26" s="11">
        <v>40</v>
      </c>
      <c r="G26" s="11" t="s">
        <v>61</v>
      </c>
      <c r="H26" s="11" t="s">
        <v>62</v>
      </c>
      <c r="I26" s="14"/>
      <c r="J26" s="13">
        <f>MIN(40,I26*40)</f>
        <v>0</v>
      </c>
      <c r="K26" s="33">
        <f>MIN(40,J26+J27)</f>
        <v>0</v>
      </c>
      <c r="L26" s="16"/>
      <c r="M26" s="21"/>
    </row>
    <row r="27" ht="39.95" customHeight="1" spans="1:13">
      <c r="A27" s="18"/>
      <c r="B27" s="11"/>
      <c r="C27" s="11"/>
      <c r="D27" s="11" t="s">
        <v>59</v>
      </c>
      <c r="E27" s="11"/>
      <c r="F27" s="11"/>
      <c r="G27" s="11" t="s">
        <v>45</v>
      </c>
      <c r="H27" s="11"/>
      <c r="I27" s="14"/>
      <c r="J27" s="13">
        <f>MIN(40,I27*20)</f>
        <v>0</v>
      </c>
      <c r="K27" s="33"/>
      <c r="L27" s="16"/>
      <c r="M27" s="21"/>
    </row>
    <row r="28" ht="39.95" customHeight="1" spans="1:13">
      <c r="A28" s="18"/>
      <c r="B28" s="11"/>
      <c r="C28" s="11" t="s">
        <v>63</v>
      </c>
      <c r="D28" s="11" t="s">
        <v>55</v>
      </c>
      <c r="E28" s="11" t="s">
        <v>56</v>
      </c>
      <c r="F28" s="11"/>
      <c r="G28" s="11"/>
      <c r="H28" s="11" t="s">
        <v>57</v>
      </c>
      <c r="I28" s="13"/>
      <c r="J28" s="13"/>
      <c r="K28" s="13"/>
      <c r="L28" s="16"/>
      <c r="M28" s="21"/>
    </row>
    <row r="29" ht="39.95" customHeight="1" spans="1:13">
      <c r="A29" s="18"/>
      <c r="B29" s="11"/>
      <c r="C29" s="11"/>
      <c r="D29" s="11" t="s">
        <v>59</v>
      </c>
      <c r="E29" s="12" t="s">
        <v>56</v>
      </c>
      <c r="F29" s="11">
        <v>60</v>
      </c>
      <c r="G29" s="11" t="s">
        <v>43</v>
      </c>
      <c r="H29" s="11" t="s">
        <v>62</v>
      </c>
      <c r="I29" s="14"/>
      <c r="J29" s="13">
        <f>MIN(60,I29*30)</f>
        <v>0</v>
      </c>
      <c r="K29" s="33">
        <f>MIN(60,J29+J30)</f>
        <v>0</v>
      </c>
      <c r="L29" s="16"/>
      <c r="M29" s="21"/>
    </row>
    <row r="30" ht="39.95" customHeight="1" spans="1:13">
      <c r="A30" s="18"/>
      <c r="B30" s="11"/>
      <c r="C30" s="11"/>
      <c r="D30" s="11" t="s">
        <v>64</v>
      </c>
      <c r="E30" s="22"/>
      <c r="F30" s="11"/>
      <c r="G30" s="11" t="s">
        <v>51</v>
      </c>
      <c r="H30" s="11"/>
      <c r="I30" s="14"/>
      <c r="J30" s="13">
        <f>MIN(60,I30*15)</f>
        <v>0</v>
      </c>
      <c r="K30" s="33"/>
      <c r="L30" s="16"/>
      <c r="M30" s="21"/>
    </row>
    <row r="31" ht="39.95" customHeight="1" spans="1:13">
      <c r="A31" s="18"/>
      <c r="B31" s="11"/>
      <c r="C31" s="11"/>
      <c r="D31" s="11" t="s">
        <v>55</v>
      </c>
      <c r="E31" s="11" t="s">
        <v>60</v>
      </c>
      <c r="F31" s="11">
        <v>30</v>
      </c>
      <c r="G31" s="11" t="s">
        <v>45</v>
      </c>
      <c r="H31" s="11"/>
      <c r="I31" s="14"/>
      <c r="J31" s="13">
        <f>MIN(30,I31*20)</f>
        <v>0</v>
      </c>
      <c r="K31" s="33">
        <f>MIN(30,J31+J32+J33)</f>
        <v>0</v>
      </c>
      <c r="L31" s="16"/>
      <c r="M31" s="21"/>
    </row>
    <row r="32" ht="39.95" customHeight="1" spans="1:13">
      <c r="A32" s="18"/>
      <c r="B32" s="11"/>
      <c r="C32" s="11"/>
      <c r="D32" s="11" t="s">
        <v>59</v>
      </c>
      <c r="E32" s="11"/>
      <c r="F32" s="11"/>
      <c r="G32" s="11" t="s">
        <v>51</v>
      </c>
      <c r="H32" s="11"/>
      <c r="I32" s="14"/>
      <c r="J32" s="13">
        <f>MIN(30,I32*15)</f>
        <v>0</v>
      </c>
      <c r="K32" s="33"/>
      <c r="L32" s="16"/>
      <c r="M32" s="21"/>
    </row>
    <row r="33" ht="39.95" customHeight="1" spans="1:13">
      <c r="A33" s="18"/>
      <c r="B33" s="11"/>
      <c r="C33" s="11"/>
      <c r="D33" s="11" t="s">
        <v>64</v>
      </c>
      <c r="E33" s="11"/>
      <c r="F33" s="11"/>
      <c r="G33" s="11" t="s">
        <v>47</v>
      </c>
      <c r="H33" s="11"/>
      <c r="I33" s="14"/>
      <c r="J33" s="13">
        <f>MIN(30,I33*10)</f>
        <v>0</v>
      </c>
      <c r="K33" s="33"/>
      <c r="L33" s="16"/>
      <c r="M33" s="21"/>
    </row>
    <row r="34" ht="39.95" customHeight="1" spans="1:13">
      <c r="A34" s="18"/>
      <c r="B34" s="11"/>
      <c r="C34" s="11" t="s">
        <v>65</v>
      </c>
      <c r="D34" s="11" t="s">
        <v>55</v>
      </c>
      <c r="E34" s="11" t="s">
        <v>56</v>
      </c>
      <c r="F34" s="11">
        <v>50</v>
      </c>
      <c r="G34" s="11" t="s">
        <v>51</v>
      </c>
      <c r="H34" s="11" t="s">
        <v>62</v>
      </c>
      <c r="I34" s="14"/>
      <c r="J34" s="13">
        <f>MIN(50,I34*15)</f>
        <v>0</v>
      </c>
      <c r="K34" s="33">
        <f>MIN(50,J34+J35+J36)</f>
        <v>0</v>
      </c>
      <c r="L34" s="16"/>
      <c r="M34" s="21"/>
    </row>
    <row r="35" ht="39.95" customHeight="1" spans="1:13">
      <c r="A35" s="18"/>
      <c r="B35" s="11"/>
      <c r="C35" s="11"/>
      <c r="D35" s="11" t="s">
        <v>59</v>
      </c>
      <c r="E35" s="11"/>
      <c r="F35" s="11"/>
      <c r="G35" s="11" t="s">
        <v>47</v>
      </c>
      <c r="H35" s="11"/>
      <c r="I35" s="14"/>
      <c r="J35" s="13">
        <f>MIN(50,I35*10)</f>
        <v>0</v>
      </c>
      <c r="K35" s="33"/>
      <c r="L35" s="16"/>
      <c r="M35" s="21"/>
    </row>
    <row r="36" ht="39.95" customHeight="1" spans="1:13">
      <c r="A36" s="18"/>
      <c r="B36" s="11"/>
      <c r="C36" s="11"/>
      <c r="D36" s="11" t="s">
        <v>64</v>
      </c>
      <c r="E36" s="11"/>
      <c r="F36" s="11"/>
      <c r="G36" s="11" t="s">
        <v>66</v>
      </c>
      <c r="H36" s="11"/>
      <c r="I36" s="14"/>
      <c r="J36" s="13">
        <f>MIN(50,I36*6)</f>
        <v>0</v>
      </c>
      <c r="K36" s="33"/>
      <c r="L36" s="16"/>
      <c r="M36" s="21"/>
    </row>
    <row r="37" ht="39.95" customHeight="1" spans="1:13">
      <c r="A37" s="18"/>
      <c r="B37" s="11"/>
      <c r="C37" s="11"/>
      <c r="D37" s="11" t="s">
        <v>55</v>
      </c>
      <c r="E37" s="11" t="s">
        <v>60</v>
      </c>
      <c r="F37" s="11">
        <v>20</v>
      </c>
      <c r="G37" s="11" t="s">
        <v>47</v>
      </c>
      <c r="H37" s="11"/>
      <c r="I37" s="14"/>
      <c r="J37" s="13">
        <f>MIN(20,I37*10)</f>
        <v>0</v>
      </c>
      <c r="K37" s="33">
        <f>MIN(20,J37+J38+J39)</f>
        <v>0</v>
      </c>
      <c r="L37" s="16"/>
      <c r="M37" s="21"/>
    </row>
    <row r="38" ht="39.95" customHeight="1" spans="1:13">
      <c r="A38" s="18"/>
      <c r="B38" s="11"/>
      <c r="C38" s="11"/>
      <c r="D38" s="11" t="s">
        <v>59</v>
      </c>
      <c r="E38" s="11"/>
      <c r="F38" s="11"/>
      <c r="G38" s="11" t="s">
        <v>66</v>
      </c>
      <c r="H38" s="11"/>
      <c r="I38" s="14"/>
      <c r="J38" s="13">
        <f>MIN(20,I38*6)</f>
        <v>0</v>
      </c>
      <c r="K38" s="33"/>
      <c r="L38" s="16"/>
      <c r="M38" s="21"/>
    </row>
    <row r="39" ht="39.95" customHeight="1" spans="1:13">
      <c r="A39" s="18"/>
      <c r="B39" s="11"/>
      <c r="C39" s="11"/>
      <c r="D39" s="11" t="s">
        <v>64</v>
      </c>
      <c r="E39" s="11"/>
      <c r="F39" s="11"/>
      <c r="G39" s="11" t="s">
        <v>67</v>
      </c>
      <c r="H39" s="11"/>
      <c r="I39" s="14"/>
      <c r="J39" s="13">
        <f>MIN(20,I39*3)</f>
        <v>0</v>
      </c>
      <c r="K39" s="33"/>
      <c r="L39" s="16"/>
      <c r="M39" s="21"/>
    </row>
    <row r="40" ht="39.95" customHeight="1" spans="1:13">
      <c r="A40" s="18"/>
      <c r="B40" s="11"/>
      <c r="C40" s="11" t="s">
        <v>68</v>
      </c>
      <c r="D40" s="11" t="s">
        <v>20</v>
      </c>
      <c r="E40" s="11" t="s">
        <v>69</v>
      </c>
      <c r="F40" s="11">
        <v>10</v>
      </c>
      <c r="G40" s="11" t="s">
        <v>67</v>
      </c>
      <c r="H40" s="11" t="s">
        <v>70</v>
      </c>
      <c r="I40" s="14"/>
      <c r="J40" s="13">
        <f>MIN(10,I40*3)</f>
        <v>0</v>
      </c>
      <c r="K40" s="33">
        <f>MIN(10,J40+J41+J42)</f>
        <v>0</v>
      </c>
      <c r="L40" s="16"/>
      <c r="M40" s="21"/>
    </row>
    <row r="41" ht="39.95" customHeight="1" spans="1:13">
      <c r="A41" s="18"/>
      <c r="B41" s="11"/>
      <c r="C41" s="11"/>
      <c r="D41" s="11" t="s">
        <v>71</v>
      </c>
      <c r="E41" s="11"/>
      <c r="F41" s="11"/>
      <c r="G41" s="11" t="s">
        <v>52</v>
      </c>
      <c r="H41" s="11"/>
      <c r="I41" s="14"/>
      <c r="J41" s="13">
        <f>MIN(10,I41*2)</f>
        <v>0</v>
      </c>
      <c r="K41" s="33"/>
      <c r="L41" s="16"/>
      <c r="M41" s="21"/>
    </row>
    <row r="42" ht="39.95" customHeight="1" spans="1:13">
      <c r="A42" s="18"/>
      <c r="B42" s="11"/>
      <c r="C42" s="11"/>
      <c r="D42" s="11" t="s">
        <v>72</v>
      </c>
      <c r="E42" s="11"/>
      <c r="F42" s="11"/>
      <c r="G42" s="11" t="s">
        <v>73</v>
      </c>
      <c r="H42" s="11"/>
      <c r="I42" s="14"/>
      <c r="J42" s="13">
        <f>MIN(10,I42*1)</f>
        <v>0</v>
      </c>
      <c r="K42" s="33"/>
      <c r="L42" s="16"/>
      <c r="M42" s="24"/>
    </row>
    <row r="43" ht="39.95" customHeight="1" spans="1:13">
      <c r="A43" s="18"/>
      <c r="B43" s="12" t="s">
        <v>74</v>
      </c>
      <c r="C43" s="11" t="s">
        <v>75</v>
      </c>
      <c r="D43" s="11" t="s">
        <v>76</v>
      </c>
      <c r="E43" s="11" t="s">
        <v>77</v>
      </c>
      <c r="F43" s="11">
        <v>40</v>
      </c>
      <c r="G43" s="11" t="s">
        <v>78</v>
      </c>
      <c r="H43" s="11" t="s">
        <v>79</v>
      </c>
      <c r="I43" s="14"/>
      <c r="J43" s="13">
        <f>MIN(40,I43*8)</f>
        <v>0</v>
      </c>
      <c r="K43" s="33">
        <f>MIN(40,J43+J44)</f>
        <v>0</v>
      </c>
      <c r="L43" s="16"/>
      <c r="M43" s="17" t="s">
        <v>80</v>
      </c>
    </row>
    <row r="44" ht="39.95" customHeight="1" spans="1:13">
      <c r="A44" s="18"/>
      <c r="B44" s="19"/>
      <c r="C44" s="11"/>
      <c r="D44" s="11"/>
      <c r="E44" s="11" t="s">
        <v>81</v>
      </c>
      <c r="F44" s="11"/>
      <c r="G44" s="11" t="s">
        <v>67</v>
      </c>
      <c r="H44" s="11"/>
      <c r="I44" s="14"/>
      <c r="J44" s="13">
        <f>MIN(40,I44*3)</f>
        <v>0</v>
      </c>
      <c r="K44" s="33"/>
      <c r="L44" s="16"/>
      <c r="M44" s="21"/>
    </row>
    <row r="45" ht="39.95" customHeight="1" spans="1:13">
      <c r="A45" s="18"/>
      <c r="B45" s="19"/>
      <c r="C45" s="11"/>
      <c r="D45" s="11" t="s">
        <v>82</v>
      </c>
      <c r="E45" s="11" t="s">
        <v>77</v>
      </c>
      <c r="F45" s="11">
        <v>5</v>
      </c>
      <c r="G45" s="11" t="s">
        <v>73</v>
      </c>
      <c r="H45" s="11"/>
      <c r="I45" s="14"/>
      <c r="J45" s="13">
        <f>MIN(5,I45*1)</f>
        <v>0</v>
      </c>
      <c r="K45" s="33">
        <f>MIN(5,J45+J46)</f>
        <v>0</v>
      </c>
      <c r="L45" s="16"/>
      <c r="M45" s="21"/>
    </row>
    <row r="46" ht="39.95" customHeight="1" spans="1:13">
      <c r="A46" s="18"/>
      <c r="B46" s="19"/>
      <c r="C46" s="11"/>
      <c r="D46" s="11"/>
      <c r="E46" s="11" t="s">
        <v>81</v>
      </c>
      <c r="F46" s="11"/>
      <c r="G46" s="11" t="s">
        <v>83</v>
      </c>
      <c r="H46" s="11"/>
      <c r="I46" s="14"/>
      <c r="J46" s="13">
        <f>MIN(5,I46*0.5)</f>
        <v>0</v>
      </c>
      <c r="K46" s="33"/>
      <c r="L46" s="16"/>
      <c r="M46" s="24"/>
    </row>
    <row r="47" ht="39.95" customHeight="1" spans="1:13">
      <c r="A47" s="18"/>
      <c r="B47" s="19"/>
      <c r="C47" s="11" t="s">
        <v>84</v>
      </c>
      <c r="D47" s="11"/>
      <c r="E47" s="11" t="s">
        <v>37</v>
      </c>
      <c r="F47" s="11">
        <v>3</v>
      </c>
      <c r="G47" s="11" t="s">
        <v>73</v>
      </c>
      <c r="H47" s="11" t="s">
        <v>85</v>
      </c>
      <c r="I47" s="14"/>
      <c r="J47" s="13">
        <f>MIN(3,I47*1)</f>
        <v>0</v>
      </c>
      <c r="K47" s="33">
        <f>MIN(3,J47)</f>
        <v>0</v>
      </c>
      <c r="L47" s="16"/>
      <c r="M47" s="17" t="s">
        <v>86</v>
      </c>
    </row>
    <row r="48" ht="39.95" customHeight="1" spans="1:13">
      <c r="A48" s="18"/>
      <c r="B48" s="19"/>
      <c r="C48" s="12" t="s">
        <v>87</v>
      </c>
      <c r="D48" s="11" t="s">
        <v>88</v>
      </c>
      <c r="E48" s="11" t="s">
        <v>89</v>
      </c>
      <c r="F48" s="12"/>
      <c r="G48" s="12"/>
      <c r="H48" s="12" t="s">
        <v>57</v>
      </c>
      <c r="I48" s="31"/>
      <c r="J48" s="31"/>
      <c r="K48" s="31"/>
      <c r="L48" s="16"/>
      <c r="M48" s="17" t="s">
        <v>90</v>
      </c>
    </row>
    <row r="49" ht="39.95" customHeight="1" spans="1:13">
      <c r="A49" s="18"/>
      <c r="B49" s="19"/>
      <c r="C49" s="19"/>
      <c r="D49" s="11" t="s">
        <v>91</v>
      </c>
      <c r="E49" s="11"/>
      <c r="F49" s="22"/>
      <c r="G49" s="22"/>
      <c r="H49" s="22"/>
      <c r="I49" s="32"/>
      <c r="J49" s="32"/>
      <c r="K49" s="32"/>
      <c r="L49" s="16"/>
      <c r="M49" s="21"/>
    </row>
    <row r="50" ht="39.95" customHeight="1" spans="1:13">
      <c r="A50" s="18"/>
      <c r="B50" s="19"/>
      <c r="C50" s="19"/>
      <c r="D50" s="11" t="s">
        <v>92</v>
      </c>
      <c r="E50" s="11"/>
      <c r="F50" s="12">
        <v>60</v>
      </c>
      <c r="G50" s="11" t="s">
        <v>45</v>
      </c>
      <c r="H50" s="12" t="s">
        <v>93</v>
      </c>
      <c r="I50" s="14"/>
      <c r="J50" s="13">
        <f>MIN(60,I50*20)</f>
        <v>0</v>
      </c>
      <c r="K50" s="15">
        <f>MIN(60,J50+J51+J52+J53+J54)</f>
        <v>0</v>
      </c>
      <c r="L50" s="16"/>
      <c r="M50" s="21"/>
    </row>
    <row r="51" ht="39.95" customHeight="1" spans="1:13">
      <c r="A51" s="18"/>
      <c r="B51" s="19"/>
      <c r="C51" s="19"/>
      <c r="D51" s="11" t="s">
        <v>94</v>
      </c>
      <c r="E51" s="11"/>
      <c r="F51" s="19"/>
      <c r="G51" s="11" t="s">
        <v>52</v>
      </c>
      <c r="H51" s="19"/>
      <c r="I51" s="14"/>
      <c r="J51" s="13">
        <f>MIN(60,I51*2)</f>
        <v>0</v>
      </c>
      <c r="K51" s="20"/>
      <c r="L51" s="16"/>
      <c r="M51" s="21"/>
    </row>
    <row r="52" ht="39.95" customHeight="1" spans="1:13">
      <c r="A52" s="18"/>
      <c r="B52" s="19"/>
      <c r="C52" s="19"/>
      <c r="D52" s="11" t="s">
        <v>88</v>
      </c>
      <c r="E52" s="11" t="s">
        <v>95</v>
      </c>
      <c r="F52" s="19"/>
      <c r="G52" s="11" t="s">
        <v>43</v>
      </c>
      <c r="H52" s="19"/>
      <c r="I52" s="14"/>
      <c r="J52" s="13">
        <f>MIN(60,I52*30)</f>
        <v>0</v>
      </c>
      <c r="K52" s="20"/>
      <c r="L52" s="16"/>
      <c r="M52" s="21"/>
    </row>
    <row r="53" ht="39.95" customHeight="1" spans="1:13">
      <c r="A53" s="18"/>
      <c r="B53" s="19"/>
      <c r="C53" s="19"/>
      <c r="D53" s="11" t="s">
        <v>91</v>
      </c>
      <c r="E53" s="11"/>
      <c r="F53" s="19"/>
      <c r="G53" s="11" t="s">
        <v>51</v>
      </c>
      <c r="H53" s="19"/>
      <c r="I53" s="14"/>
      <c r="J53" s="13">
        <f>MIN(60,I53*15)</f>
        <v>0</v>
      </c>
      <c r="K53" s="20"/>
      <c r="L53" s="16"/>
      <c r="M53" s="21"/>
    </row>
    <row r="54" ht="39.95" customHeight="1" spans="1:13">
      <c r="A54" s="18"/>
      <c r="B54" s="19"/>
      <c r="C54" s="19"/>
      <c r="D54" s="11" t="s">
        <v>92</v>
      </c>
      <c r="E54" s="11"/>
      <c r="F54" s="22"/>
      <c r="G54" s="11" t="s">
        <v>47</v>
      </c>
      <c r="H54" s="19"/>
      <c r="I54" s="14"/>
      <c r="J54" s="13">
        <f>MIN(60,I54*10)</f>
        <v>0</v>
      </c>
      <c r="K54" s="23"/>
      <c r="L54" s="16"/>
      <c r="M54" s="21"/>
    </row>
    <row r="55" ht="39.95" customHeight="1" spans="1:13">
      <c r="A55" s="18"/>
      <c r="B55" s="19"/>
      <c r="C55" s="19"/>
      <c r="D55" s="11" t="s">
        <v>94</v>
      </c>
      <c r="E55" s="11"/>
      <c r="F55" s="12">
        <v>30</v>
      </c>
      <c r="G55" s="11" t="s">
        <v>73</v>
      </c>
      <c r="H55" s="19"/>
      <c r="I55" s="14"/>
      <c r="J55" s="13">
        <f>MIN(30,I55*1)</f>
        <v>0</v>
      </c>
      <c r="K55" s="15">
        <f>MIN(30,J55+J56+J57+J58)</f>
        <v>0</v>
      </c>
      <c r="L55" s="16"/>
      <c r="M55" s="21"/>
    </row>
    <row r="56" ht="39.95" customHeight="1" spans="1:13">
      <c r="A56" s="18"/>
      <c r="B56" s="19"/>
      <c r="C56" s="19"/>
      <c r="D56" s="11" t="s">
        <v>88</v>
      </c>
      <c r="E56" s="12" t="s">
        <v>60</v>
      </c>
      <c r="F56" s="19"/>
      <c r="G56" s="11" t="s">
        <v>51</v>
      </c>
      <c r="H56" s="19"/>
      <c r="I56" s="14"/>
      <c r="J56" s="13">
        <f>MIN(30,I56*15)</f>
        <v>0</v>
      </c>
      <c r="K56" s="20"/>
      <c r="L56" s="16"/>
      <c r="M56" s="21"/>
    </row>
    <row r="57" ht="39.95" customHeight="1" spans="1:13">
      <c r="A57" s="18"/>
      <c r="B57" s="19"/>
      <c r="C57" s="19"/>
      <c r="D57" s="11" t="s">
        <v>91</v>
      </c>
      <c r="E57" s="19"/>
      <c r="F57" s="19"/>
      <c r="G57" s="11" t="s">
        <v>49</v>
      </c>
      <c r="H57" s="19"/>
      <c r="I57" s="14"/>
      <c r="J57" s="13">
        <f>MIN(30,I57*5)</f>
        <v>0</v>
      </c>
      <c r="K57" s="20"/>
      <c r="L57" s="16"/>
      <c r="M57" s="21"/>
    </row>
    <row r="58" ht="39.95" customHeight="1" spans="1:13">
      <c r="A58" s="18"/>
      <c r="B58" s="22"/>
      <c r="C58" s="22"/>
      <c r="D58" s="11" t="s">
        <v>92</v>
      </c>
      <c r="E58" s="22"/>
      <c r="F58" s="22"/>
      <c r="G58" s="11" t="s">
        <v>52</v>
      </c>
      <c r="H58" s="22"/>
      <c r="I58" s="14"/>
      <c r="J58" s="13">
        <f>MIN(30,I58*2)</f>
        <v>0</v>
      </c>
      <c r="K58" s="23"/>
      <c r="L58" s="16"/>
      <c r="M58" s="24"/>
    </row>
    <row r="59" ht="39.95" customHeight="1" spans="1:13">
      <c r="A59" s="18"/>
      <c r="B59" s="12" t="s">
        <v>96</v>
      </c>
      <c r="C59" s="12" t="s">
        <v>97</v>
      </c>
      <c r="D59" s="12" t="s">
        <v>98</v>
      </c>
      <c r="E59" s="11" t="s">
        <v>99</v>
      </c>
      <c r="F59" s="12">
        <v>30</v>
      </c>
      <c r="G59" s="11" t="s">
        <v>52</v>
      </c>
      <c r="H59" s="12" t="s">
        <v>100</v>
      </c>
      <c r="I59" s="14"/>
      <c r="J59" s="13">
        <f t="shared" ref="J59" si="0">MIN(30,I59*2)</f>
        <v>0</v>
      </c>
      <c r="K59" s="15">
        <f>MIN(30,J59+J60)</f>
        <v>0</v>
      </c>
      <c r="L59" s="16"/>
      <c r="M59" s="17" t="s">
        <v>101</v>
      </c>
    </row>
    <row r="60" ht="39.95" customHeight="1" spans="1:13">
      <c r="A60" s="18"/>
      <c r="B60" s="19"/>
      <c r="C60" s="22"/>
      <c r="D60" s="22"/>
      <c r="E60" s="11" t="s">
        <v>102</v>
      </c>
      <c r="F60" s="22"/>
      <c r="G60" s="11" t="s">
        <v>73</v>
      </c>
      <c r="H60" s="19"/>
      <c r="I60" s="14"/>
      <c r="J60" s="13">
        <f>MIN(30,I60*1)</f>
        <v>0</v>
      </c>
      <c r="K60" s="23"/>
      <c r="L60" s="16"/>
      <c r="M60" s="21"/>
    </row>
    <row r="61" ht="39.95" customHeight="1" spans="1:13">
      <c r="A61" s="18"/>
      <c r="B61" s="19"/>
      <c r="C61" s="12" t="s">
        <v>103</v>
      </c>
      <c r="D61" s="12" t="s">
        <v>104</v>
      </c>
      <c r="E61" s="11" t="s">
        <v>99</v>
      </c>
      <c r="F61" s="12">
        <v>30</v>
      </c>
      <c r="G61" s="11" t="s">
        <v>73</v>
      </c>
      <c r="H61" s="19"/>
      <c r="I61" s="14"/>
      <c r="J61" s="13">
        <f>MIN(30,I61*1)</f>
        <v>0</v>
      </c>
      <c r="K61" s="15">
        <f>MIN(30,J61+J62)</f>
        <v>0</v>
      </c>
      <c r="L61" s="16"/>
      <c r="M61" s="21"/>
    </row>
    <row r="62" ht="39.95" customHeight="1" spans="1:13">
      <c r="A62" s="18"/>
      <c r="B62" s="19"/>
      <c r="C62" s="22"/>
      <c r="D62" s="22"/>
      <c r="E62" s="11" t="s">
        <v>102</v>
      </c>
      <c r="F62" s="22"/>
      <c r="G62" s="11" t="s">
        <v>105</v>
      </c>
      <c r="H62" s="22"/>
      <c r="I62" s="14"/>
      <c r="J62" s="13">
        <f>MIN(30,I62*0.2)</f>
        <v>0</v>
      </c>
      <c r="K62" s="23"/>
      <c r="L62" s="16"/>
      <c r="M62" s="21"/>
    </row>
    <row r="63" ht="39.95" customHeight="1" spans="1:13">
      <c r="A63" s="18"/>
      <c r="B63" s="19"/>
      <c r="C63" s="12" t="s">
        <v>106</v>
      </c>
      <c r="D63" s="12" t="s">
        <v>107</v>
      </c>
      <c r="E63" s="11" t="s">
        <v>108</v>
      </c>
      <c r="F63" s="12">
        <v>30</v>
      </c>
      <c r="G63" s="11" t="s">
        <v>47</v>
      </c>
      <c r="H63" s="12" t="s">
        <v>109</v>
      </c>
      <c r="I63" s="14"/>
      <c r="J63" s="13">
        <f>MIN(30,I63*10)</f>
        <v>0</v>
      </c>
      <c r="K63" s="15">
        <f>MIN(30,J63+J64+J65)</f>
        <v>0</v>
      </c>
      <c r="L63" s="16"/>
      <c r="M63" s="21"/>
    </row>
    <row r="64" ht="39.95" customHeight="1" spans="1:13">
      <c r="A64" s="18"/>
      <c r="B64" s="19"/>
      <c r="C64" s="19"/>
      <c r="D64" s="19"/>
      <c r="E64" s="11" t="s">
        <v>110</v>
      </c>
      <c r="F64" s="19"/>
      <c r="G64" s="11" t="s">
        <v>49</v>
      </c>
      <c r="H64" s="19"/>
      <c r="I64" s="14"/>
      <c r="J64" s="13">
        <f>MIN(30,I64*5)</f>
        <v>0</v>
      </c>
      <c r="K64" s="20"/>
      <c r="L64" s="16"/>
      <c r="M64" s="21"/>
    </row>
    <row r="65" ht="39.95" customHeight="1" spans="1:13">
      <c r="A65" s="18"/>
      <c r="B65" s="22"/>
      <c r="C65" s="22"/>
      <c r="D65" s="22"/>
      <c r="E65" s="11" t="s">
        <v>111</v>
      </c>
      <c r="F65" s="22"/>
      <c r="G65" s="11" t="s">
        <v>52</v>
      </c>
      <c r="H65" s="22"/>
      <c r="I65" s="14"/>
      <c r="J65" s="13">
        <f>MIN(30,I65*2)</f>
        <v>0</v>
      </c>
      <c r="K65" s="23"/>
      <c r="L65" s="16"/>
      <c r="M65" s="24"/>
    </row>
    <row r="66" ht="39.95" customHeight="1" spans="1:13">
      <c r="A66" s="18"/>
      <c r="B66" s="11" t="s">
        <v>112</v>
      </c>
      <c r="C66" s="11" t="s">
        <v>113</v>
      </c>
      <c r="D66" s="11"/>
      <c r="E66" s="11" t="s">
        <v>114</v>
      </c>
      <c r="F66" s="12">
        <v>10</v>
      </c>
      <c r="G66" s="11" t="s">
        <v>47</v>
      </c>
      <c r="H66" s="11" t="s">
        <v>115</v>
      </c>
      <c r="I66" s="14"/>
      <c r="J66" s="13">
        <f>MIN(10,I66*10)</f>
        <v>0</v>
      </c>
      <c r="K66" s="15">
        <f>MIN(10,J66+J67)</f>
        <v>0</v>
      </c>
      <c r="L66" s="16"/>
      <c r="M66" s="17" t="s">
        <v>116</v>
      </c>
    </row>
    <row r="67" ht="39.95" customHeight="1" spans="1:13">
      <c r="A67" s="18"/>
      <c r="B67" s="11"/>
      <c r="C67" s="11"/>
      <c r="D67" s="11"/>
      <c r="E67" s="11" t="s">
        <v>117</v>
      </c>
      <c r="F67" s="22"/>
      <c r="G67" s="11" t="s">
        <v>49</v>
      </c>
      <c r="H67" s="11"/>
      <c r="I67" s="14"/>
      <c r="J67" s="13">
        <f>MIN(10,I67*5)</f>
        <v>0</v>
      </c>
      <c r="K67" s="23"/>
      <c r="L67" s="16"/>
      <c r="M67" s="21"/>
    </row>
    <row r="68" ht="39.95" customHeight="1" spans="1:13">
      <c r="A68" s="18"/>
      <c r="B68" s="11"/>
      <c r="C68" s="11" t="s">
        <v>118</v>
      </c>
      <c r="D68" s="11"/>
      <c r="E68" s="11" t="s">
        <v>114</v>
      </c>
      <c r="F68" s="12">
        <v>5</v>
      </c>
      <c r="G68" s="11" t="s">
        <v>49</v>
      </c>
      <c r="H68" s="11"/>
      <c r="I68" s="14"/>
      <c r="J68" s="13">
        <f>MIN(5,I68*5)</f>
        <v>0</v>
      </c>
      <c r="K68" s="15">
        <f>MIN(5,J68+J69)</f>
        <v>0</v>
      </c>
      <c r="L68" s="16"/>
      <c r="M68" s="21"/>
    </row>
    <row r="69" ht="39.95" customHeight="1" spans="1:13">
      <c r="A69" s="18"/>
      <c r="B69" s="11"/>
      <c r="C69" s="11"/>
      <c r="D69" s="11"/>
      <c r="E69" s="11" t="s">
        <v>117</v>
      </c>
      <c r="F69" s="22"/>
      <c r="G69" s="11" t="s">
        <v>67</v>
      </c>
      <c r="H69" s="11"/>
      <c r="I69" s="14"/>
      <c r="J69" s="13">
        <f>MIN(5,I69*3)</f>
        <v>0</v>
      </c>
      <c r="K69" s="23"/>
      <c r="L69" s="16"/>
      <c r="M69" s="21"/>
    </row>
    <row r="70" ht="39.95" customHeight="1" spans="1:13">
      <c r="A70" s="25"/>
      <c r="B70" s="11"/>
      <c r="C70" s="11" t="s">
        <v>119</v>
      </c>
      <c r="D70" s="11"/>
      <c r="E70" s="11" t="s">
        <v>114</v>
      </c>
      <c r="F70" s="11">
        <v>2</v>
      </c>
      <c r="G70" s="11" t="s">
        <v>73</v>
      </c>
      <c r="H70" s="11"/>
      <c r="I70" s="14"/>
      <c r="J70" s="13">
        <f>MIN(2,I70*1)</f>
        <v>0</v>
      </c>
      <c r="K70" s="33">
        <f>MIN(2,J70)</f>
        <v>0</v>
      </c>
      <c r="L70" s="16"/>
      <c r="M70" s="21"/>
    </row>
    <row r="71" ht="39.95" customHeight="1" spans="1:13">
      <c r="A71" s="26" t="s">
        <v>120</v>
      </c>
      <c r="B71" s="27"/>
      <c r="C71" s="27"/>
      <c r="D71" s="27"/>
      <c r="E71" s="27"/>
      <c r="F71" s="27"/>
      <c r="G71" s="27"/>
      <c r="H71" s="27"/>
      <c r="I71" s="27"/>
      <c r="J71" s="27"/>
      <c r="K71" s="28">
        <f>MIN(60,K14+K24+K26+K29+K31+K34+K37+K40+K43+K45+K47+K50+K55+K59+K61+K63+MIN(10,K66+K68+K70))</f>
        <v>0</v>
      </c>
      <c r="L71" s="29"/>
      <c r="M71" s="30"/>
    </row>
    <row r="72" ht="39.95" customHeight="1" spans="1:13">
      <c r="A72" s="34" t="s">
        <v>121</v>
      </c>
      <c r="B72" s="11" t="s">
        <v>122</v>
      </c>
      <c r="C72" s="11" t="s">
        <v>123</v>
      </c>
      <c r="D72" s="11" t="s">
        <v>124</v>
      </c>
      <c r="E72" s="11"/>
      <c r="F72" s="11">
        <v>5</v>
      </c>
      <c r="G72" s="11"/>
      <c r="H72" s="11" t="s">
        <v>125</v>
      </c>
      <c r="I72" s="13"/>
      <c r="J72" s="14"/>
      <c r="K72" s="15">
        <f>MAX(J72:J75)</f>
        <v>0</v>
      </c>
      <c r="L72" s="16"/>
      <c r="M72" s="17" t="s">
        <v>126</v>
      </c>
    </row>
    <row r="73" ht="39.95" customHeight="1" spans="1:13">
      <c r="A73" s="34"/>
      <c r="B73" s="11"/>
      <c r="C73" s="11"/>
      <c r="D73" s="11" t="s">
        <v>127</v>
      </c>
      <c r="E73" s="11"/>
      <c r="F73" s="11">
        <v>3</v>
      </c>
      <c r="G73" s="11"/>
      <c r="H73" s="11"/>
      <c r="I73" s="13"/>
      <c r="J73" s="14"/>
      <c r="K73" s="20"/>
      <c r="L73" s="16"/>
      <c r="M73" s="21"/>
    </row>
    <row r="74" ht="39.95" customHeight="1" spans="1:13">
      <c r="A74" s="34"/>
      <c r="B74" s="11"/>
      <c r="C74" s="11" t="s">
        <v>128</v>
      </c>
      <c r="D74" s="11" t="s">
        <v>124</v>
      </c>
      <c r="E74" s="11"/>
      <c r="F74" s="11">
        <v>3</v>
      </c>
      <c r="G74" s="11"/>
      <c r="H74" s="11"/>
      <c r="I74" s="13"/>
      <c r="J74" s="14"/>
      <c r="K74" s="20"/>
      <c r="L74" s="16"/>
      <c r="M74" s="21"/>
    </row>
    <row r="75" ht="39.95" customHeight="1" spans="1:13">
      <c r="A75" s="34"/>
      <c r="B75" s="11"/>
      <c r="C75" s="11"/>
      <c r="D75" s="11" t="s">
        <v>127</v>
      </c>
      <c r="E75" s="11"/>
      <c r="F75" s="11">
        <v>2</v>
      </c>
      <c r="G75" s="11"/>
      <c r="H75" s="11"/>
      <c r="I75" s="13"/>
      <c r="J75" s="14"/>
      <c r="K75" s="23"/>
      <c r="L75" s="16"/>
      <c r="M75" s="24"/>
    </row>
    <row r="76" ht="39.95" customHeight="1" spans="1:13">
      <c r="A76" s="34"/>
      <c r="B76" s="11" t="s">
        <v>129</v>
      </c>
      <c r="C76" s="11" t="s">
        <v>130</v>
      </c>
      <c r="D76" s="11" t="s">
        <v>124</v>
      </c>
      <c r="E76" s="11"/>
      <c r="F76" s="12">
        <v>10</v>
      </c>
      <c r="G76" s="11" t="s">
        <v>73</v>
      </c>
      <c r="H76" s="11" t="s">
        <v>131</v>
      </c>
      <c r="I76" s="14"/>
      <c r="J76" s="13">
        <f>MIN(10,I76*1)</f>
        <v>0</v>
      </c>
      <c r="K76" s="15">
        <f>MIN(10,J76+J77)</f>
        <v>0</v>
      </c>
      <c r="L76" s="16"/>
      <c r="M76" s="17" t="s">
        <v>132</v>
      </c>
    </row>
    <row r="77" ht="39.95" customHeight="1" spans="1:13">
      <c r="A77" s="34"/>
      <c r="B77" s="11"/>
      <c r="C77" s="11"/>
      <c r="D77" s="11" t="s">
        <v>127</v>
      </c>
      <c r="E77" s="11"/>
      <c r="F77" s="22"/>
      <c r="G77" s="11" t="s">
        <v>105</v>
      </c>
      <c r="H77" s="11"/>
      <c r="I77" s="14"/>
      <c r="J77" s="13">
        <f>MIN(10,I77*0.2)</f>
        <v>0</v>
      </c>
      <c r="K77" s="23"/>
      <c r="L77" s="16"/>
      <c r="M77" s="21"/>
    </row>
    <row r="78" ht="39.95" customHeight="1" spans="1:13">
      <c r="A78" s="34"/>
      <c r="B78" s="11"/>
      <c r="C78" s="12" t="s">
        <v>133</v>
      </c>
      <c r="D78" s="35" t="s">
        <v>134</v>
      </c>
      <c r="E78" s="11"/>
      <c r="F78" s="11">
        <v>15</v>
      </c>
      <c r="G78" s="11"/>
      <c r="H78" s="11" t="s">
        <v>135</v>
      </c>
      <c r="I78" s="13"/>
      <c r="J78" s="14"/>
      <c r="K78" s="20">
        <f>MAX(J78:J93)</f>
        <v>0</v>
      </c>
      <c r="L78" s="16"/>
      <c r="M78" s="21"/>
    </row>
    <row r="79" ht="39.95" customHeight="1" spans="1:13">
      <c r="A79" s="34"/>
      <c r="B79" s="11"/>
      <c r="C79" s="19"/>
      <c r="D79" s="11" t="s">
        <v>136</v>
      </c>
      <c r="E79" s="11"/>
      <c r="F79" s="11">
        <v>15</v>
      </c>
      <c r="G79" s="11"/>
      <c r="H79" s="11"/>
      <c r="I79" s="13"/>
      <c r="J79" s="36"/>
      <c r="K79" s="20"/>
      <c r="L79" s="16"/>
      <c r="M79" s="21"/>
    </row>
    <row r="80" ht="39.95" customHeight="1" spans="1:13">
      <c r="A80" s="34"/>
      <c r="B80" s="11"/>
      <c r="C80" s="19"/>
      <c r="D80" s="11" t="s">
        <v>137</v>
      </c>
      <c r="E80" s="11"/>
      <c r="F80" s="11">
        <v>12</v>
      </c>
      <c r="G80" s="11"/>
      <c r="H80" s="11"/>
      <c r="I80" s="13"/>
      <c r="J80" s="14"/>
      <c r="K80" s="20"/>
      <c r="L80" s="16"/>
      <c r="M80" s="21"/>
    </row>
    <row r="81" ht="39.95" customHeight="1" spans="1:13">
      <c r="A81" s="34"/>
      <c r="B81" s="11"/>
      <c r="C81" s="22"/>
      <c r="D81" s="11" t="s">
        <v>138</v>
      </c>
      <c r="E81" s="11"/>
      <c r="F81" s="11">
        <v>10</v>
      </c>
      <c r="G81" s="11"/>
      <c r="H81" s="11"/>
      <c r="I81" s="13"/>
      <c r="J81" s="14"/>
      <c r="K81" s="20"/>
      <c r="L81" s="16"/>
      <c r="M81" s="21"/>
    </row>
    <row r="82" ht="39.95" customHeight="1" spans="1:13">
      <c r="A82" s="34"/>
      <c r="B82" s="11"/>
      <c r="C82" s="11" t="s">
        <v>139</v>
      </c>
      <c r="D82" s="11" t="s">
        <v>134</v>
      </c>
      <c r="E82" s="11"/>
      <c r="F82" s="11">
        <v>15</v>
      </c>
      <c r="G82" s="11"/>
      <c r="H82" s="11"/>
      <c r="I82" s="13"/>
      <c r="J82" s="14"/>
      <c r="K82" s="20"/>
      <c r="L82" s="16"/>
      <c r="M82" s="21"/>
    </row>
    <row r="83" ht="39.95" customHeight="1" spans="1:13">
      <c r="A83" s="34"/>
      <c r="B83" s="11"/>
      <c r="C83" s="11"/>
      <c r="D83" s="11" t="s">
        <v>136</v>
      </c>
      <c r="E83" s="11"/>
      <c r="F83" s="11">
        <v>12</v>
      </c>
      <c r="G83" s="11"/>
      <c r="H83" s="11"/>
      <c r="I83" s="13"/>
      <c r="J83" s="14"/>
      <c r="K83" s="20"/>
      <c r="L83" s="16"/>
      <c r="M83" s="21"/>
    </row>
    <row r="84" ht="39.95" customHeight="1" spans="1:13">
      <c r="A84" s="34"/>
      <c r="B84" s="11"/>
      <c r="C84" s="11"/>
      <c r="D84" s="11" t="s">
        <v>137</v>
      </c>
      <c r="E84" s="11"/>
      <c r="F84" s="11">
        <v>10</v>
      </c>
      <c r="G84" s="11"/>
      <c r="H84" s="11"/>
      <c r="I84" s="13"/>
      <c r="J84" s="14"/>
      <c r="K84" s="20"/>
      <c r="L84" s="16"/>
      <c r="M84" s="21"/>
    </row>
    <row r="85" ht="39.95" customHeight="1" spans="1:13">
      <c r="A85" s="34"/>
      <c r="B85" s="11"/>
      <c r="C85" s="11"/>
      <c r="D85" s="11" t="s">
        <v>138</v>
      </c>
      <c r="E85" s="11"/>
      <c r="F85" s="11">
        <v>8</v>
      </c>
      <c r="G85" s="11"/>
      <c r="H85" s="11"/>
      <c r="I85" s="13"/>
      <c r="J85" s="14"/>
      <c r="K85" s="20"/>
      <c r="L85" s="16"/>
      <c r="M85" s="21"/>
    </row>
    <row r="86" ht="39.95" customHeight="1" spans="1:13">
      <c r="A86" s="34"/>
      <c r="B86" s="11"/>
      <c r="C86" s="12" t="s">
        <v>140</v>
      </c>
      <c r="D86" s="11" t="s">
        <v>134</v>
      </c>
      <c r="E86" s="11"/>
      <c r="F86" s="11">
        <v>12</v>
      </c>
      <c r="G86" s="11"/>
      <c r="H86" s="11"/>
      <c r="I86" s="13"/>
      <c r="J86" s="14"/>
      <c r="K86" s="20"/>
      <c r="L86" s="16"/>
      <c r="M86" s="21"/>
    </row>
    <row r="87" ht="39.95" customHeight="1" spans="1:13">
      <c r="A87" s="34"/>
      <c r="B87" s="11"/>
      <c r="C87" s="19"/>
      <c r="D87" s="11" t="s">
        <v>136</v>
      </c>
      <c r="E87" s="11"/>
      <c r="F87" s="11">
        <v>10</v>
      </c>
      <c r="G87" s="11"/>
      <c r="H87" s="11"/>
      <c r="I87" s="13"/>
      <c r="J87" s="14"/>
      <c r="K87" s="20"/>
      <c r="L87" s="16"/>
      <c r="M87" s="21"/>
    </row>
    <row r="88" ht="39.95" customHeight="1" spans="1:13">
      <c r="A88" s="34"/>
      <c r="B88" s="11"/>
      <c r="C88" s="19"/>
      <c r="D88" s="11" t="s">
        <v>137</v>
      </c>
      <c r="E88" s="11"/>
      <c r="F88" s="11">
        <v>8</v>
      </c>
      <c r="G88" s="11"/>
      <c r="H88" s="11"/>
      <c r="I88" s="13"/>
      <c r="J88" s="14"/>
      <c r="K88" s="20"/>
      <c r="L88" s="16"/>
      <c r="M88" s="21"/>
    </row>
    <row r="89" ht="39.95" customHeight="1" spans="1:13">
      <c r="A89" s="34"/>
      <c r="B89" s="11"/>
      <c r="C89" s="22"/>
      <c r="D89" s="11" t="s">
        <v>138</v>
      </c>
      <c r="E89" s="11"/>
      <c r="F89" s="11">
        <v>6</v>
      </c>
      <c r="G89" s="11"/>
      <c r="H89" s="11"/>
      <c r="I89" s="13"/>
      <c r="J89" s="14"/>
      <c r="K89" s="20"/>
      <c r="L89" s="16"/>
      <c r="M89" s="21"/>
    </row>
    <row r="90" ht="39.95" customHeight="1" spans="1:13">
      <c r="A90" s="34"/>
      <c r="B90" s="11"/>
      <c r="C90" s="11" t="s">
        <v>141</v>
      </c>
      <c r="D90" s="11" t="s">
        <v>134</v>
      </c>
      <c r="E90" s="11"/>
      <c r="F90" s="11">
        <v>10</v>
      </c>
      <c r="G90" s="11"/>
      <c r="H90" s="11"/>
      <c r="I90" s="13"/>
      <c r="J90" s="14"/>
      <c r="K90" s="20"/>
      <c r="L90" s="16"/>
      <c r="M90" s="21"/>
    </row>
    <row r="91" ht="39.95" customHeight="1" spans="1:13">
      <c r="A91" s="34"/>
      <c r="B91" s="11"/>
      <c r="C91" s="11"/>
      <c r="D91" s="11" t="s">
        <v>136</v>
      </c>
      <c r="E91" s="11"/>
      <c r="F91" s="11">
        <v>8</v>
      </c>
      <c r="G91" s="11"/>
      <c r="H91" s="11"/>
      <c r="I91" s="13"/>
      <c r="J91" s="14"/>
      <c r="K91" s="20"/>
      <c r="L91" s="16"/>
      <c r="M91" s="21"/>
    </row>
    <row r="92" ht="39.95" customHeight="1" spans="1:13">
      <c r="A92" s="34"/>
      <c r="B92" s="11"/>
      <c r="C92" s="11"/>
      <c r="D92" s="11" t="s">
        <v>137</v>
      </c>
      <c r="E92" s="11"/>
      <c r="F92" s="11">
        <v>6</v>
      </c>
      <c r="G92" s="11"/>
      <c r="H92" s="11"/>
      <c r="I92" s="13"/>
      <c r="J92" s="14"/>
      <c r="K92" s="20"/>
      <c r="L92" s="16"/>
      <c r="M92" s="21"/>
    </row>
    <row r="93" ht="39.95" customHeight="1" spans="1:13">
      <c r="A93" s="34"/>
      <c r="B93" s="11"/>
      <c r="C93" s="11"/>
      <c r="D93" s="11" t="s">
        <v>138</v>
      </c>
      <c r="E93" s="11"/>
      <c r="F93" s="11">
        <v>4</v>
      </c>
      <c r="G93" s="11"/>
      <c r="H93" s="11"/>
      <c r="I93" s="13"/>
      <c r="J93" s="14"/>
      <c r="K93" s="23"/>
      <c r="L93" s="16"/>
      <c r="M93" s="24"/>
    </row>
    <row r="94" ht="39.95" customHeight="1" spans="1:13">
      <c r="A94" s="34"/>
      <c r="B94" s="11" t="s">
        <v>142</v>
      </c>
      <c r="C94" s="11"/>
      <c r="D94" s="11" t="s">
        <v>143</v>
      </c>
      <c r="E94" s="11"/>
      <c r="F94" s="11">
        <v>5</v>
      </c>
      <c r="G94" s="11" t="s">
        <v>144</v>
      </c>
      <c r="H94" s="11" t="s">
        <v>145</v>
      </c>
      <c r="I94" s="14"/>
      <c r="J94" s="13">
        <f>MIN(5,I94*2.5)</f>
        <v>0</v>
      </c>
      <c r="K94" s="15">
        <f>MIN(5,J94+J95+J96)</f>
        <v>0</v>
      </c>
      <c r="L94" s="16"/>
      <c r="M94" s="17" t="s">
        <v>146</v>
      </c>
    </row>
    <row r="95" ht="39.95" customHeight="1" spans="1:13">
      <c r="A95" s="34"/>
      <c r="B95" s="11"/>
      <c r="C95" s="11"/>
      <c r="D95" s="11" t="s">
        <v>147</v>
      </c>
      <c r="E95" s="11"/>
      <c r="F95" s="11">
        <v>2</v>
      </c>
      <c r="G95" s="11" t="s">
        <v>73</v>
      </c>
      <c r="H95" s="11"/>
      <c r="I95" s="14"/>
      <c r="J95" s="13">
        <f>MIN(2,I95*1)</f>
        <v>0</v>
      </c>
      <c r="K95" s="20"/>
      <c r="L95" s="16"/>
      <c r="M95" s="21"/>
    </row>
    <row r="96" ht="39.95" customHeight="1" spans="1:13">
      <c r="A96" s="34"/>
      <c r="B96" s="11"/>
      <c r="C96" s="11"/>
      <c r="D96" s="11" t="s">
        <v>148</v>
      </c>
      <c r="E96" s="11"/>
      <c r="F96" s="11">
        <v>1</v>
      </c>
      <c r="G96" s="11" t="s">
        <v>83</v>
      </c>
      <c r="H96" s="11"/>
      <c r="I96" s="14"/>
      <c r="J96" s="13">
        <f>MIN(1,I96*0.5)</f>
        <v>0</v>
      </c>
      <c r="K96" s="23"/>
      <c r="L96" s="16"/>
      <c r="M96" s="24"/>
    </row>
    <row r="97" ht="39.95" customHeight="1" spans="1:13">
      <c r="A97" s="26" t="s">
        <v>149</v>
      </c>
      <c r="B97" s="27"/>
      <c r="C97" s="27"/>
      <c r="D97" s="27"/>
      <c r="E97" s="27"/>
      <c r="F97" s="27"/>
      <c r="G97" s="27"/>
      <c r="H97" s="27"/>
      <c r="I97" s="27"/>
      <c r="J97" s="27"/>
      <c r="K97" s="28">
        <f>MIN(20,K72+MIN(15,K76+K78)+K94)</f>
        <v>0</v>
      </c>
      <c r="L97" s="29"/>
      <c r="M97" s="30"/>
    </row>
    <row r="98" ht="39.95" customHeight="1" spans="1:13">
      <c r="A98" s="34" t="s">
        <v>150</v>
      </c>
      <c r="B98" s="12" t="s">
        <v>151</v>
      </c>
      <c r="C98" s="11" t="s">
        <v>152</v>
      </c>
      <c r="D98" s="11" t="s">
        <v>20</v>
      </c>
      <c r="E98" s="11" t="s">
        <v>153</v>
      </c>
      <c r="F98" s="11">
        <v>10</v>
      </c>
      <c r="G98" s="37"/>
      <c r="H98" s="12" t="s">
        <v>154</v>
      </c>
      <c r="I98" s="13"/>
      <c r="J98" s="14"/>
      <c r="K98" s="15">
        <f>MAX(J98:J101)</f>
        <v>0</v>
      </c>
      <c r="L98" s="16"/>
      <c r="M98" s="17" t="s">
        <v>155</v>
      </c>
    </row>
    <row r="99" ht="39.95" customHeight="1" spans="1:13">
      <c r="A99" s="34"/>
      <c r="B99" s="19"/>
      <c r="C99" s="11"/>
      <c r="D99" s="11"/>
      <c r="E99" s="11" t="s">
        <v>156</v>
      </c>
      <c r="F99" s="11">
        <v>5</v>
      </c>
      <c r="G99" s="37"/>
      <c r="H99" s="19"/>
      <c r="I99" s="13"/>
      <c r="J99" s="14"/>
      <c r="K99" s="20"/>
      <c r="L99" s="16"/>
      <c r="M99" s="21"/>
    </row>
    <row r="100" ht="39.95" customHeight="1" spans="1:13">
      <c r="A100" s="34"/>
      <c r="B100" s="19"/>
      <c r="C100" s="11"/>
      <c r="D100" s="11" t="s">
        <v>157</v>
      </c>
      <c r="E100" s="11" t="s">
        <v>153</v>
      </c>
      <c r="F100" s="11">
        <v>8</v>
      </c>
      <c r="G100" s="37"/>
      <c r="H100" s="19"/>
      <c r="I100" s="13"/>
      <c r="J100" s="14"/>
      <c r="K100" s="20"/>
      <c r="L100" s="16"/>
      <c r="M100" s="21"/>
    </row>
    <row r="101" ht="39.95" customHeight="1" spans="1:13">
      <c r="A101" s="34"/>
      <c r="B101" s="19"/>
      <c r="C101" s="11"/>
      <c r="D101" s="11"/>
      <c r="E101" s="11" t="s">
        <v>156</v>
      </c>
      <c r="F101" s="11">
        <v>3</v>
      </c>
      <c r="G101" s="37"/>
      <c r="H101" s="22"/>
      <c r="I101" s="13"/>
      <c r="J101" s="14"/>
      <c r="K101" s="23"/>
      <c r="L101" s="16"/>
      <c r="M101" s="21"/>
    </row>
    <row r="102" ht="39.95" customHeight="1" spans="1:13">
      <c r="A102" s="34"/>
      <c r="B102" s="19"/>
      <c r="C102" s="12" t="s">
        <v>158</v>
      </c>
      <c r="D102" s="11" t="s">
        <v>159</v>
      </c>
      <c r="E102" s="11"/>
      <c r="F102" s="11">
        <v>10</v>
      </c>
      <c r="G102" s="37"/>
      <c r="H102" s="12" t="s">
        <v>160</v>
      </c>
      <c r="I102" s="13"/>
      <c r="J102" s="14"/>
      <c r="K102" s="15">
        <f>MAX(J102:J105)</f>
        <v>0</v>
      </c>
      <c r="L102" s="16"/>
      <c r="M102" s="21"/>
    </row>
    <row r="103" ht="39.95" customHeight="1" spans="1:13">
      <c r="A103" s="34"/>
      <c r="B103" s="19"/>
      <c r="C103" s="19"/>
      <c r="D103" s="11" t="s">
        <v>161</v>
      </c>
      <c r="E103" s="11"/>
      <c r="F103" s="11">
        <v>8</v>
      </c>
      <c r="G103" s="37"/>
      <c r="H103" s="19"/>
      <c r="I103" s="13"/>
      <c r="J103" s="14"/>
      <c r="K103" s="20"/>
      <c r="L103" s="16"/>
      <c r="M103" s="21"/>
    </row>
    <row r="104" ht="39.95" customHeight="1" spans="1:13">
      <c r="A104" s="34"/>
      <c r="B104" s="19"/>
      <c r="C104" s="19"/>
      <c r="D104" s="11" t="s">
        <v>162</v>
      </c>
      <c r="E104" s="11"/>
      <c r="F104" s="11">
        <v>6</v>
      </c>
      <c r="G104" s="37"/>
      <c r="H104" s="19"/>
      <c r="I104" s="13"/>
      <c r="J104" s="14"/>
      <c r="K104" s="20"/>
      <c r="L104" s="16"/>
      <c r="M104" s="21"/>
    </row>
    <row r="105" ht="39.95" customHeight="1" spans="1:13">
      <c r="A105" s="34"/>
      <c r="B105" s="22"/>
      <c r="C105" s="22"/>
      <c r="D105" s="11" t="s">
        <v>163</v>
      </c>
      <c r="E105" s="11"/>
      <c r="F105" s="11">
        <v>4</v>
      </c>
      <c r="G105" s="37"/>
      <c r="H105" s="22"/>
      <c r="I105" s="13"/>
      <c r="J105" s="14"/>
      <c r="K105" s="23"/>
      <c r="L105" s="16"/>
      <c r="M105" s="21"/>
    </row>
    <row r="106" ht="39.95" customHeight="1" spans="1:13">
      <c r="A106" s="34"/>
      <c r="B106" s="12" t="s">
        <v>164</v>
      </c>
      <c r="C106" s="12" t="s">
        <v>165</v>
      </c>
      <c r="D106" s="11"/>
      <c r="E106" s="11" t="s">
        <v>166</v>
      </c>
      <c r="F106" s="11"/>
      <c r="G106" s="37"/>
      <c r="H106" s="11" t="s">
        <v>57</v>
      </c>
      <c r="I106" s="13"/>
      <c r="J106" s="13"/>
      <c r="K106" s="13"/>
      <c r="L106" s="16"/>
      <c r="M106" s="21"/>
    </row>
    <row r="107" ht="39.95" customHeight="1" spans="1:13">
      <c r="A107" s="34"/>
      <c r="B107" s="19"/>
      <c r="C107" s="19"/>
      <c r="D107" s="11"/>
      <c r="E107" s="11" t="s">
        <v>167</v>
      </c>
      <c r="F107" s="11">
        <v>5</v>
      </c>
      <c r="G107" s="37"/>
      <c r="H107" s="12" t="s">
        <v>168</v>
      </c>
      <c r="I107" s="13"/>
      <c r="J107" s="14"/>
      <c r="K107" s="15">
        <f>MAX(J107:J116)</f>
        <v>0</v>
      </c>
      <c r="L107" s="16"/>
      <c r="M107" s="21"/>
    </row>
    <row r="108" ht="39.95" customHeight="1" spans="1:13">
      <c r="A108" s="34"/>
      <c r="B108" s="19"/>
      <c r="C108" s="19"/>
      <c r="D108" s="11"/>
      <c r="E108" s="11" t="s">
        <v>169</v>
      </c>
      <c r="F108" s="11">
        <v>2</v>
      </c>
      <c r="G108" s="37"/>
      <c r="H108" s="19"/>
      <c r="I108" s="13"/>
      <c r="J108" s="14"/>
      <c r="K108" s="20"/>
      <c r="L108" s="16"/>
      <c r="M108" s="21"/>
    </row>
    <row r="109" ht="39.95" customHeight="1" spans="1:13">
      <c r="A109" s="34"/>
      <c r="B109" s="19"/>
      <c r="C109" s="22"/>
      <c r="D109" s="11"/>
      <c r="E109" s="11" t="s">
        <v>170</v>
      </c>
      <c r="F109" s="11">
        <v>5</v>
      </c>
      <c r="G109" s="37"/>
      <c r="H109" s="19"/>
      <c r="I109" s="13"/>
      <c r="J109" s="14"/>
      <c r="K109" s="20"/>
      <c r="L109" s="16"/>
      <c r="M109" s="21"/>
    </row>
    <row r="110" ht="39.95" customHeight="1" spans="1:13">
      <c r="A110" s="34"/>
      <c r="B110" s="19"/>
      <c r="C110" s="12" t="s">
        <v>171</v>
      </c>
      <c r="D110" s="11"/>
      <c r="E110" s="11" t="s">
        <v>166</v>
      </c>
      <c r="F110" s="11">
        <v>7</v>
      </c>
      <c r="G110" s="37"/>
      <c r="H110" s="19"/>
      <c r="I110" s="13"/>
      <c r="J110" s="14"/>
      <c r="K110" s="20"/>
      <c r="L110" s="16"/>
      <c r="M110" s="21"/>
    </row>
    <row r="111" ht="39.95" customHeight="1" spans="1:13">
      <c r="A111" s="34"/>
      <c r="B111" s="19"/>
      <c r="C111" s="19"/>
      <c r="D111" s="11"/>
      <c r="E111" s="11" t="s">
        <v>167</v>
      </c>
      <c r="F111" s="11">
        <v>3</v>
      </c>
      <c r="G111" s="37"/>
      <c r="H111" s="19"/>
      <c r="I111" s="13"/>
      <c r="J111" s="14"/>
      <c r="K111" s="20"/>
      <c r="L111" s="16"/>
      <c r="M111" s="21"/>
    </row>
    <row r="112" ht="39.95" customHeight="1" spans="1:13">
      <c r="A112" s="34"/>
      <c r="B112" s="19"/>
      <c r="C112" s="19"/>
      <c r="D112" s="11"/>
      <c r="E112" s="11" t="s">
        <v>169</v>
      </c>
      <c r="F112" s="11">
        <v>1</v>
      </c>
      <c r="G112" s="37"/>
      <c r="H112" s="19"/>
      <c r="I112" s="13"/>
      <c r="J112" s="14"/>
      <c r="K112" s="20"/>
      <c r="L112" s="16"/>
      <c r="M112" s="21"/>
    </row>
    <row r="113" ht="39.95" customHeight="1" spans="1:13">
      <c r="A113" s="34"/>
      <c r="B113" s="19"/>
      <c r="C113" s="22"/>
      <c r="D113" s="11"/>
      <c r="E113" s="11" t="s">
        <v>170</v>
      </c>
      <c r="F113" s="11">
        <v>3</v>
      </c>
      <c r="G113" s="37"/>
      <c r="H113" s="19"/>
      <c r="I113" s="13"/>
      <c r="J113" s="14"/>
      <c r="K113" s="20"/>
      <c r="L113" s="16"/>
      <c r="M113" s="21"/>
    </row>
    <row r="114" ht="39.95" customHeight="1" spans="1:13">
      <c r="A114" s="34"/>
      <c r="B114" s="19"/>
      <c r="C114" s="12" t="s">
        <v>172</v>
      </c>
      <c r="D114" s="11"/>
      <c r="E114" s="11" t="s">
        <v>166</v>
      </c>
      <c r="F114" s="11">
        <v>5</v>
      </c>
      <c r="G114" s="37"/>
      <c r="H114" s="19"/>
      <c r="I114" s="13"/>
      <c r="J114" s="14"/>
      <c r="K114" s="20"/>
      <c r="L114" s="16"/>
      <c r="M114" s="21"/>
    </row>
    <row r="115" ht="39.95" customHeight="1" spans="1:13">
      <c r="A115" s="34"/>
      <c r="B115" s="19"/>
      <c r="C115" s="19"/>
      <c r="D115" s="11"/>
      <c r="E115" s="11" t="s">
        <v>167</v>
      </c>
      <c r="F115" s="11">
        <v>2</v>
      </c>
      <c r="G115" s="37"/>
      <c r="H115" s="19"/>
      <c r="I115" s="13"/>
      <c r="J115" s="14"/>
      <c r="K115" s="20"/>
      <c r="L115" s="16"/>
      <c r="M115" s="21"/>
    </row>
    <row r="116" ht="39.95" customHeight="1" spans="1:13">
      <c r="A116" s="34"/>
      <c r="B116" s="22"/>
      <c r="C116" s="22"/>
      <c r="D116" s="11"/>
      <c r="E116" s="11" t="s">
        <v>170</v>
      </c>
      <c r="F116" s="11">
        <v>2</v>
      </c>
      <c r="G116" s="37"/>
      <c r="H116" s="22"/>
      <c r="I116" s="13"/>
      <c r="J116" s="14"/>
      <c r="K116" s="23"/>
      <c r="L116" s="16"/>
      <c r="M116" s="24"/>
    </row>
    <row r="117" ht="124.5" customHeight="1" spans="1:13">
      <c r="A117" s="34"/>
      <c r="B117" s="11" t="s">
        <v>173</v>
      </c>
      <c r="C117" s="11" t="s">
        <v>174</v>
      </c>
      <c r="D117" s="11" t="s">
        <v>175</v>
      </c>
      <c r="E117" s="11"/>
      <c r="F117" s="11">
        <v>10</v>
      </c>
      <c r="G117" s="11" t="s">
        <v>49</v>
      </c>
      <c r="H117" s="38" t="s">
        <v>176</v>
      </c>
      <c r="I117" s="14"/>
      <c r="J117" s="13">
        <f>MIN(10,I117*5)</f>
        <v>0</v>
      </c>
      <c r="K117" s="15">
        <f>MIN(10,J117+J118+J119+J120)</f>
        <v>0</v>
      </c>
      <c r="L117" s="16"/>
      <c r="M117" s="17" t="s">
        <v>177</v>
      </c>
    </row>
    <row r="118" ht="142.5" customHeight="1" spans="1:13">
      <c r="A118" s="34"/>
      <c r="B118" s="11"/>
      <c r="C118" s="11"/>
      <c r="D118" s="11" t="s">
        <v>178</v>
      </c>
      <c r="E118" s="11"/>
      <c r="F118" s="11">
        <v>3</v>
      </c>
      <c r="G118" s="11" t="s">
        <v>73</v>
      </c>
      <c r="H118" s="38"/>
      <c r="I118" s="14"/>
      <c r="J118" s="13">
        <f>MIN(3,I118*1)</f>
        <v>0</v>
      </c>
      <c r="K118" s="20"/>
      <c r="L118" s="16"/>
      <c r="M118" s="21"/>
    </row>
    <row r="119" ht="39.95" customHeight="1" spans="1:13">
      <c r="A119" s="34"/>
      <c r="B119" s="11"/>
      <c r="C119" s="11" t="s">
        <v>179</v>
      </c>
      <c r="D119" s="11" t="s">
        <v>180</v>
      </c>
      <c r="E119" s="11"/>
      <c r="F119" s="11">
        <v>3</v>
      </c>
      <c r="G119" s="11" t="s">
        <v>73</v>
      </c>
      <c r="H119" s="38" t="s">
        <v>181</v>
      </c>
      <c r="I119" s="14"/>
      <c r="J119" s="13">
        <f>MIN(3,I119*1)</f>
        <v>0</v>
      </c>
      <c r="K119" s="20"/>
      <c r="L119" s="16"/>
      <c r="M119" s="21"/>
    </row>
    <row r="120" ht="39.95" customHeight="1" spans="1:13">
      <c r="A120" s="34"/>
      <c r="B120" s="11"/>
      <c r="C120" s="11"/>
      <c r="D120" s="11" t="s">
        <v>182</v>
      </c>
      <c r="E120" s="11"/>
      <c r="F120" s="11">
        <v>1</v>
      </c>
      <c r="G120" s="11" t="s">
        <v>105</v>
      </c>
      <c r="H120" s="38" t="s">
        <v>183</v>
      </c>
      <c r="I120" s="14"/>
      <c r="J120" s="13">
        <f>MIN(1,I120*0.2)</f>
        <v>0</v>
      </c>
      <c r="K120" s="23"/>
      <c r="L120" s="16"/>
      <c r="M120" s="24"/>
    </row>
    <row r="121" ht="39.95" customHeight="1" spans="1:13">
      <c r="A121" s="26" t="s">
        <v>184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>
        <f>MIN(10,K98+K102+K107+K117)</f>
        <v>0</v>
      </c>
      <c r="L121" s="29"/>
      <c r="M121" s="30"/>
    </row>
    <row r="122" ht="39.95" customHeight="1" spans="1:13">
      <c r="A122" s="39" t="s">
        <v>185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1">
        <f>K13+K71+K97+K121</f>
        <v>0</v>
      </c>
      <c r="L122" s="42"/>
      <c r="M122" s="43"/>
    </row>
    <row r="123" ht="31.5" customHeight="1" spans="1:13">
      <c r="A123" s="44" t="s">
        <v>186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</row>
  </sheetData>
  <sheetProtection password="E89A" sheet="1" objects="1"/>
  <mergeCells count="157">
    <mergeCell ref="A1:D1"/>
    <mergeCell ref="E1:J1"/>
    <mergeCell ref="K1:M1"/>
    <mergeCell ref="A3:M3"/>
    <mergeCell ref="A123:M123"/>
    <mergeCell ref="A5:A12"/>
    <mergeCell ref="A14:A70"/>
    <mergeCell ref="A72:A96"/>
    <mergeCell ref="A98:A120"/>
    <mergeCell ref="B5:B12"/>
    <mergeCell ref="B14:B23"/>
    <mergeCell ref="B24:B42"/>
    <mergeCell ref="B43:B58"/>
    <mergeCell ref="B59:B65"/>
    <mergeCell ref="B66:B70"/>
    <mergeCell ref="B72:B75"/>
    <mergeCell ref="B76:B93"/>
    <mergeCell ref="B94:B96"/>
    <mergeCell ref="B98:B105"/>
    <mergeCell ref="B106:B116"/>
    <mergeCell ref="B117:B120"/>
    <mergeCell ref="C5:C9"/>
    <mergeCell ref="C10:C12"/>
    <mergeCell ref="C14:C23"/>
    <mergeCell ref="C24:C27"/>
    <mergeCell ref="C28:C33"/>
    <mergeCell ref="C34:C39"/>
    <mergeCell ref="C40:C42"/>
    <mergeCell ref="C43:C46"/>
    <mergeCell ref="C48:C58"/>
    <mergeCell ref="C59:C60"/>
    <mergeCell ref="C61:C62"/>
    <mergeCell ref="C63:C65"/>
    <mergeCell ref="C66:C67"/>
    <mergeCell ref="C68:C69"/>
    <mergeCell ref="C72:C73"/>
    <mergeCell ref="C74:C75"/>
    <mergeCell ref="C76:C77"/>
    <mergeCell ref="C78:C81"/>
    <mergeCell ref="C82:C85"/>
    <mergeCell ref="C86:C89"/>
    <mergeCell ref="C90:C93"/>
    <mergeCell ref="C94:C96"/>
    <mergeCell ref="C98:C101"/>
    <mergeCell ref="C102:C105"/>
    <mergeCell ref="C106:C109"/>
    <mergeCell ref="C110:C113"/>
    <mergeCell ref="C114:C116"/>
    <mergeCell ref="C117:C118"/>
    <mergeCell ref="C119:C120"/>
    <mergeCell ref="D43:D44"/>
    <mergeCell ref="D45:D46"/>
    <mergeCell ref="D59:D60"/>
    <mergeCell ref="D61:D62"/>
    <mergeCell ref="D63:D65"/>
    <mergeCell ref="D98:D99"/>
    <mergeCell ref="D100:D101"/>
    <mergeCell ref="E14:E18"/>
    <mergeCell ref="E19:E23"/>
    <mergeCell ref="E24:E25"/>
    <mergeCell ref="E26:E27"/>
    <mergeCell ref="E29:E30"/>
    <mergeCell ref="E31:E33"/>
    <mergeCell ref="E34:E36"/>
    <mergeCell ref="E37:E39"/>
    <mergeCell ref="E40:E42"/>
    <mergeCell ref="E48:E51"/>
    <mergeCell ref="E52:E55"/>
    <mergeCell ref="E56:E58"/>
    <mergeCell ref="F14:F23"/>
    <mergeCell ref="F24:F25"/>
    <mergeCell ref="F26:F27"/>
    <mergeCell ref="F29:F30"/>
    <mergeCell ref="F31:F33"/>
    <mergeCell ref="F34:F36"/>
    <mergeCell ref="F37:F39"/>
    <mergeCell ref="F40:F42"/>
    <mergeCell ref="F43:F44"/>
    <mergeCell ref="F45:F46"/>
    <mergeCell ref="F48:F49"/>
    <mergeCell ref="F50:F54"/>
    <mergeCell ref="F55:F58"/>
    <mergeCell ref="F59:F60"/>
    <mergeCell ref="F61:F62"/>
    <mergeCell ref="F63:F65"/>
    <mergeCell ref="F66:F67"/>
    <mergeCell ref="F68:F69"/>
    <mergeCell ref="F76:F77"/>
    <mergeCell ref="G24:G25"/>
    <mergeCell ref="G48:G49"/>
    <mergeCell ref="H5:H9"/>
    <mergeCell ref="H10:H12"/>
    <mergeCell ref="H14:H23"/>
    <mergeCell ref="H24:H25"/>
    <mergeCell ref="H26:H27"/>
    <mergeCell ref="H29:H33"/>
    <mergeCell ref="H34:H39"/>
    <mergeCell ref="H40:H42"/>
    <mergeCell ref="H43:H46"/>
    <mergeCell ref="H48:H49"/>
    <mergeCell ref="H50:H58"/>
    <mergeCell ref="H59:H62"/>
    <mergeCell ref="H63:H65"/>
    <mergeCell ref="H66:H70"/>
    <mergeCell ref="H72:H75"/>
    <mergeCell ref="H76:H77"/>
    <mergeCell ref="H78:H93"/>
    <mergeCell ref="H94:H96"/>
    <mergeCell ref="H98:H101"/>
    <mergeCell ref="H102:H105"/>
    <mergeCell ref="H107:H116"/>
    <mergeCell ref="H117:H118"/>
    <mergeCell ref="I24:I25"/>
    <mergeCell ref="I48:I49"/>
    <mergeCell ref="J24:J25"/>
    <mergeCell ref="J48:J49"/>
    <mergeCell ref="K5:K9"/>
    <mergeCell ref="K10:K12"/>
    <mergeCell ref="K14:K23"/>
    <mergeCell ref="K24:K25"/>
    <mergeCell ref="K26:K27"/>
    <mergeCell ref="K29:K30"/>
    <mergeCell ref="K31:K33"/>
    <mergeCell ref="K34:K36"/>
    <mergeCell ref="K37:K39"/>
    <mergeCell ref="K40:K42"/>
    <mergeCell ref="K43:K44"/>
    <mergeCell ref="K45:K46"/>
    <mergeCell ref="K48:K49"/>
    <mergeCell ref="K50:K54"/>
    <mergeCell ref="K55:K58"/>
    <mergeCell ref="K59:K60"/>
    <mergeCell ref="K61:K62"/>
    <mergeCell ref="K63:K65"/>
    <mergeCell ref="K66:K67"/>
    <mergeCell ref="K68:K69"/>
    <mergeCell ref="K72:K75"/>
    <mergeCell ref="K76:K77"/>
    <mergeCell ref="K78:K93"/>
    <mergeCell ref="K94:K96"/>
    <mergeCell ref="K98:K101"/>
    <mergeCell ref="K102:K105"/>
    <mergeCell ref="K107:K116"/>
    <mergeCell ref="K117:K120"/>
    <mergeCell ref="M5:M9"/>
    <mergeCell ref="M10:M12"/>
    <mergeCell ref="M14:M23"/>
    <mergeCell ref="M24:M42"/>
    <mergeCell ref="M43:M46"/>
    <mergeCell ref="M48:M58"/>
    <mergeCell ref="M59:M65"/>
    <mergeCell ref="M66:M70"/>
    <mergeCell ref="M72:M75"/>
    <mergeCell ref="M76:M93"/>
    <mergeCell ref="M94:M96"/>
    <mergeCell ref="M98:M116"/>
    <mergeCell ref="M117:M120"/>
  </mergeCells>
  <dataValidations count="67">
    <dataValidation type="whole" operator="between" allowBlank="1" showInputMessage="1" showErrorMessage="1" errorTitle="超出数值范围" error="国家级荣誉最高10分" promptTitle="国家级荣誉" prompt="最高10分" sqref="J5">
      <formula1>0</formula1>
      <formula2>10</formula2>
    </dataValidation>
    <dataValidation type="whole" operator="between" allowBlank="1" showInputMessage="1" showErrorMessage="1" errorTitle="超出数值范围" error="省部级荣誉最高8分" promptTitle="省部级荣誉" prompt="最高8分" sqref="J6">
      <formula1>0</formula1>
      <formula2>8</formula2>
    </dataValidation>
    <dataValidation type="whole" operator="between" allowBlank="1" showInputMessage="1" showErrorMessage="1" errorTitle="超出数值范围" error="地市级荣誉最高6分" promptTitle="地市级荣誉" prompt="最高6分" sqref="J7">
      <formula1>0</formula1>
      <formula2>6</formula2>
    </dataValidation>
    <dataValidation type="whole" operator="between" allowBlank="1" showInputMessage="1" showErrorMessage="1" errorTitle="超出数值范围" error="县区级荣誉最高4分" promptTitle="县区级荣誉" prompt="最高4分" sqref="J8">
      <formula1>0</formula1>
      <formula2>4</formula2>
    </dataValidation>
    <dataValidation type="whole" operator="between" allowBlank="1" showInputMessage="1" showErrorMessage="1" errorTitle="超出数值范围" error="其他荣誉最高2分" promptTitle="其他荣誉" prompt="最高2分" sqref="J9">
      <formula1>0</formula1>
      <formula2>2</formula2>
    </dataValidation>
    <dataValidation type="whole" operator="between" allowBlank="1" showInputMessage="1" showErrorMessage="1" errorTitle="超出数值范围" error="考核三年及以上优秀最高3分" promptTitle="考核三年及以上优秀" prompt="最高3分" sqref="J10">
      <formula1>0</formula1>
      <formula2>3</formula2>
    </dataValidation>
    <dataValidation type="whole" operator="between" allowBlank="1" showInputMessage="1" showErrorMessage="1" errorTitle="超出数值范围" error="考核二年优秀最高2分" promptTitle="考核二年优秀" prompt="最高2分" sqref="J11">
      <formula1>0</formula1>
      <formula2>2</formula2>
    </dataValidation>
    <dataValidation type="whole" operator="between" allowBlank="1" showInputMessage="1" showErrorMessage="1" errorTitle="超出数值范围" error="考核一年优秀最高1分" promptTitle="考核一年优秀" prompt="最高1分" sqref="J12">
      <formula1>0</formula1>
      <formula2>1</formula2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4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5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6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7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8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19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20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21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22">
      <formula1>SUM(I14:I23)&lt;=5</formula1>
    </dataValidation>
    <dataValidation type="custom" allowBlank="1" showInputMessage="1" showErrorMessage="1" errorTitle="超出数值范围" error="项目、维护和产品总数不大于5" promptTitle="总数不超过5个" prompt="项目、产品和维护总数不超过5个" sqref="I23">
      <formula1>SUM(I14:I23)&lt;=5</formula1>
    </dataValidation>
    <dataValidation type="custom" allowBlank="1" showInputMessage="1" showErrorMessage="1" errorTitle="超出取值范围" error="标准总数不大于5" promptTitle="标准总数" prompt="不大于5" sqref="I50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1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2">
      <formula1>SUM(I50:I58)&lt;=5</formula1>
    </dataValidation>
    <dataValidation type="custom" allowBlank="1" showInputMessage="1" showErrorMessage="1" errorTitle="超出取值范围" promptTitle="标准总数" prompt="不大于5" sqref="I53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4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5">
      <formula1>SUM(I50:I58)&lt;=5</formula1>
    </dataValidation>
    <dataValidation type="custom" allowBlank="1" showInputMessage="1" showErrorMessage="1" errorTitle="超出取值范围" promptTitle="标准总数" prompt="不大于5" sqref="I56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7">
      <formula1>SUM(I50:I58)&lt;=5</formula1>
    </dataValidation>
    <dataValidation type="custom" allowBlank="1" showInputMessage="1" showErrorMessage="1" errorTitle="超出取值范围" error="标准总数不大于5" promptTitle="标准总数" prompt="不大于5" sqref="I58">
      <formula1>SUM(I50:I58)&lt;=5</formula1>
    </dataValidation>
    <dataValidation type="whole" operator="between" allowBlank="1" showInputMessage="1" showErrorMessage="1" errorTitle="超出数值范围" error="本专业博士学历最高5分" promptTitle="本专业博士学历" prompt="最高5分" sqref="J72">
      <formula1>0</formula1>
      <formula2>5</formula2>
    </dataValidation>
    <dataValidation type="whole" operator="between" allowBlank="1" showInputMessage="1" showErrorMessage="1" errorTitle="超出取值范围" error="非本专业博士学历最高3分" promptTitle="非本专业博士学历" prompt="最高3分" sqref="J73">
      <formula1>0</formula1>
      <formula2>3</formula2>
    </dataValidation>
    <dataValidation type="whole" operator="between" allowBlank="1" showInputMessage="1" showErrorMessage="1" errorTitle="超出取值范围" error="本专业硕士学历最高3分" promptTitle="本专业硕士学历" prompt="最高3分" sqref="J74">
      <formula1>0</formula1>
      <formula2>3</formula2>
    </dataValidation>
    <dataValidation type="whole" operator="between" allowBlank="1" showInputMessage="1" showErrorMessage="1" errorTitle="超出取值范围" error="非本专业硕士学历最高2分" promptTitle="非本专业硕士学历" prompt="最高2分" sqref="J75">
      <formula1>0</formula1>
      <formula2>2</formula2>
    </dataValidation>
    <dataValidation type="custom" allowBlank="1" showInputMessage="1" showErrorMessage="1" errorTitle="超出取值范围" error="技术工作年限不高于50年" promptTitle="技术工作年限" prompt="不高于50年" sqref="I76">
      <formula1>SUM(I76:I77)&lt;=50</formula1>
    </dataValidation>
    <dataValidation type="custom" allowBlank="1" showInputMessage="1" showErrorMessage="1" errorTitle="超出取值范围" error="技术工作年限不高于50年" promptTitle="技术工作年限" prompt="不高于50年" sqref="I77">
      <formula1>SUM(I76:I77)&lt;=50</formula1>
    </dataValidation>
    <dataValidation type="whole" operator="between" allowBlank="1" showInputMessage="1" showErrorMessage="1" errorTitle="超出取值范围" error="一级企业技术副总经理最高15分" promptTitle="一级企业技术副总经理" prompt="最高15分" sqref="J78">
      <formula1>0</formula1>
      <formula2>15</formula2>
    </dataValidation>
    <dataValidation type="whole" operator="between" allowBlank="1" showInputMessage="1" showErrorMessage="1" errorTitle="超出取值范围" error="二级企业技术副总经理最高15分" promptTitle="二级企业技术副总经理" prompt="最高15分" sqref="J79">
      <formula1>0</formula1>
      <formula2>15</formula2>
    </dataValidation>
    <dataValidation type="whole" operator="between" allowBlank="1" showInputMessage="1" showErrorMessage="1" errorTitle="超出取值范围" error="三级企业技术副总经理最高12分" promptTitle="三级企业技术副总经理" prompt="最高12分" sqref="J80">
      <formula1>0</formula1>
      <formula2>12</formula2>
    </dataValidation>
    <dataValidation type="whole" operator="between" allowBlank="1" showInputMessage="1" showErrorMessage="1" errorTitle="超出取值范围" error="四级企业技术副总经理最高10分" promptTitle="四级企业技术副总经理" prompt="最高10分" sqref="J81">
      <formula1>0</formula1>
      <formula2>10</formula2>
    </dataValidation>
    <dataValidation type="whole" operator="between" allowBlank="1" showInputMessage="1" showErrorMessage="1" errorTitle="超出取值范围" error="一级企业技术总监最高15分" promptTitle="一级企业技术总监" prompt="最高15分" sqref="J82">
      <formula1>0</formula1>
      <formula2>15</formula2>
    </dataValidation>
    <dataValidation type="whole" operator="between" allowBlank="1" showInputMessage="1" showErrorMessage="1" errorTitle="超出取值范围" error="二级企业技术总监最高12分" promptTitle="二级企业技术总监" prompt="最高12分" sqref="J83">
      <formula1>0</formula1>
      <formula2>12</formula2>
    </dataValidation>
    <dataValidation type="whole" operator="between" allowBlank="1" showInputMessage="1" showErrorMessage="1" errorTitle="超出取值范围" error="三级企业技术总监最高10分" promptTitle="三级企业技术总监" prompt="最高10分" sqref="J84">
      <formula1>0</formula1>
      <formula2>10</formula2>
    </dataValidation>
    <dataValidation type="whole" operator="between" allowBlank="1" showInputMessage="1" showErrorMessage="1" errorTitle="超出取值范围" error="四级企业技术总监最高8分" promptTitle="四级企业技术总监" prompt="最高8分" sqref="J85">
      <formula1>0</formula1>
      <formula2>8</formula2>
    </dataValidation>
    <dataValidation type="whole" operator="between" allowBlank="1" showInputMessage="1" showErrorMessage="1" errorTitle="超出取值范围" error="一级企业部门经理或技术骨干最高12分" promptTitle="一级企业部门经理或技术骨干" prompt="最高12分" sqref="J86">
      <formula1>0</formula1>
      <formula2>12</formula2>
    </dataValidation>
    <dataValidation type="whole" operator="between" allowBlank="1" showInputMessage="1" showErrorMessage="1" errorTitle="超出取值范围" error="二级企业部门经理或技术骨干最高10分" promptTitle="二级企业部门经理或技术骨干" prompt="最高10分" sqref="J87">
      <formula1>0</formula1>
      <formula2>10</formula2>
    </dataValidation>
    <dataValidation type="whole" operator="between" allowBlank="1" showInputMessage="1" showErrorMessage="1" errorTitle="超出取值范围" error="三级企业部门经理或技术骨干最高8分" promptTitle="三级企业部门经理或技术骨干" prompt="最高8分" sqref="J88">
      <formula1>0</formula1>
      <formula2>8</formula2>
    </dataValidation>
    <dataValidation type="whole" operator="between" allowBlank="1" showInputMessage="1" showErrorMessage="1" errorTitle="超出取值范围" error="四级企业部门经理或技术骨干最高6分" promptTitle="四级企业部门经理或技术骨干" prompt="最高6分" sqref="J89">
      <formula1>0</formula1>
      <formula2>6</formula2>
    </dataValidation>
    <dataValidation type="whole" operator="between" allowBlank="1" showInputMessage="1" showErrorMessage="1" errorTitle="超出取值范围" error="一级企业产品或项目技术总负责人最高10分" promptTitle="一级企业产品或项目技术总负责人" prompt="最高10分" sqref="J90">
      <formula1>0</formula1>
      <formula2>10</formula2>
    </dataValidation>
    <dataValidation type="whole" operator="between" allowBlank="1" showInputMessage="1" showErrorMessage="1" errorTitle="超出取值范围" error="二级企业产品或项目技术总负责人最高8分" promptTitle="二级企业产品或项目技术总负责人" prompt="最高8分" sqref="J91">
      <formula1>0</formula1>
      <formula2>8</formula2>
    </dataValidation>
    <dataValidation type="whole" operator="between" allowBlank="1" showInputMessage="1" showErrorMessage="1" errorTitle="超出取值范围" error="三级企业产品或项目技术总负责人最高6分" promptTitle="三级企业产品或项目技术总负责人" prompt="最高6分" sqref="J92">
      <formula1>0</formula1>
      <formula2>6</formula2>
    </dataValidation>
    <dataValidation type="whole" operator="between" allowBlank="1" showInputMessage="1" showErrorMessage="1" errorTitle="超出取值范围" error="四级企业产品或项目技术总负责人最高4分" promptTitle="四级企业产品或项目技术总负责人" prompt="最高4分" sqref="J93">
      <formula1>0</formula1>
      <formula2>4</formula2>
    </dataValidation>
    <dataValidation type="whole" operator="between" allowBlank="1" showInputMessage="1" showErrorMessage="1" errorTitle="超出取值范围" error="国家级社会团体主要负责人最高10分" promptTitle="国家级社会团体主要负责人" prompt="最高10分" sqref="J98">
      <formula1>0</formula1>
      <formula2>10</formula2>
    </dataValidation>
    <dataValidation type="whole" operator="between" allowBlank="1" showInputMessage="1" showErrorMessage="1" errorTitle="超出取值范围" error="国家级社会团体常务理事、理事、秘书长最高5分" promptTitle="国家级社会团体常务理事、理事、秘书长" prompt="最高5分" sqref="J99">
      <formula1>0</formula1>
      <formula2>5</formula2>
    </dataValidation>
    <dataValidation type="whole" operator="between" allowBlank="1" showInputMessage="1" showErrorMessage="1" errorTitle="超出取值范围" error="省级社会团体主要负责人最高8分" promptTitle="省级社会团体主要负责人" prompt="最高8分" sqref="J100">
      <formula1>0</formula1>
      <formula2>8</formula2>
    </dataValidation>
    <dataValidation type="whole" operator="between" allowBlank="1" showInputMessage="1" showErrorMessage="1" errorTitle="超出取值范围" error="省级社会团体常务理事、理事、秘书长最高3分" promptTitle="省级社会团体常务理事、理事、秘书长" prompt="最高3分" sqref="J101">
      <formula1>0</formula1>
      <formula2>3</formula2>
    </dataValidation>
    <dataValidation type="whole" operator="between" allowBlank="1" showInputMessage="1" showErrorMessage="1" errorTitle="超出取值范围" error="国家级部门行业专家库成员最高10分" promptTitle="国家级部门行业专家库成员" prompt="最高10分" sqref="J102">
      <formula1>0</formula1>
      <formula2>10</formula2>
    </dataValidation>
    <dataValidation type="whole" operator="between" allowBlank="1" showInputMessage="1" showErrorMessage="1" errorTitle="超出取值范围" error="省级部门行业专家库成员最高8分" promptTitle="省级部门行业专家库成员" prompt="最高8分" sqref="J103">
      <formula1>0</formula1>
      <formula2>8</formula2>
    </dataValidation>
    <dataValidation type="whole" operator="between" allowBlank="1" showInputMessage="1" showErrorMessage="1" errorTitle="超出取值范围" error="地市级部门行业专家库成员最高6分" promptTitle="地市级部门行业专家库成员" prompt="最高6分" sqref="J104">
      <formula1>0</formula1>
      <formula2>6</formula2>
    </dataValidation>
    <dataValidation type="whole" operator="between" allowBlank="1" showInputMessage="1" showErrorMessage="1" errorTitle="超出取值范围" error="区县级部门行业专家库成员最高4分" promptTitle="区县级部门行业专家库成员" prompt="最高4分" sqref="J105">
      <formula1>0</formula1>
      <formula2>4</formula2>
    </dataValidation>
    <dataValidation type="whole" operator="between" allowBlank="1" showInputMessage="1" showErrorMessage="1" errorTitle="超出取值范围" error="著名院校校聘兼职导师、兼职讲师最高5分" promptTitle="著名院校校聘兼职导师、兼职讲师" prompt="最高5分" sqref="J107">
      <formula1>0</formula1>
      <formula2>5</formula2>
    </dataValidation>
    <dataValidation type="whole" operator="between" allowBlank="1" showInputMessage="1" showErrorMessage="1" errorTitle="超出取值范围" error="著名院校院聘兼职导师、兼职讲师最高2分" promptTitle="著名院校院聘兼职导师、兼职讲师" prompt="最高2分" sqref="J108">
      <formula1>0</formula1>
      <formula2>2</formula2>
    </dataValidation>
    <dataValidation type="whole" operator="between" allowBlank="1" showInputMessage="1" showErrorMessage="1" errorTitle="超出取值范围" error="著名院校访问学者最高5分" promptTitle="著名院校访问学者" prompt="最高5分" sqref="J109">
      <formula1>0</formula1>
      <formula2>5</formula2>
    </dataValidation>
    <dataValidation type="whole" operator="between" allowBlank="1" showInputMessage="1" showErrorMessage="1" errorTitle="超出取值范围" error="一般本科院校校聘兼职教授最高7分" promptTitle="一般本科院校校聘兼职教授" prompt="最高7分" sqref="J110">
      <formula1>0</formula1>
      <formula2>7</formula2>
    </dataValidation>
    <dataValidation type="whole" operator="between" allowBlank="1" showInputMessage="1" showErrorMessage="1" errorTitle="超出取值范围" error="一般本科院校校聘兼职导师、兼职讲师最高3分" promptTitle="一般本科院校校聘兼职导师、兼职讲师" prompt="最高3分" sqref="J111">
      <formula1>0</formula1>
      <formula2>3</formula2>
    </dataValidation>
    <dataValidation type="whole" operator="between" allowBlank="1" showInputMessage="1" showErrorMessage="1" errorTitle="超出取值范围" error="一般本科院校院聘兼职导师、兼职讲师最高1分" promptTitle="一般本科院校院聘兼职导师、兼职讲师" prompt="最高1分" sqref="J112">
      <formula1>0</formula1>
      <formula2>1</formula2>
    </dataValidation>
    <dataValidation type="whole" operator="between" allowBlank="1" showInputMessage="1" showErrorMessage="1" errorTitle="超出取值范围" error="一般本科院校访问学者最高3分" promptTitle="一般本科院校访问学者" prompt="最高3分" sqref="J113">
      <formula1>0</formula1>
      <formula2>3</formula2>
    </dataValidation>
    <dataValidation type="whole" operator="between" allowBlank="1" showInputMessage="1" showErrorMessage="1" errorTitle="超出取值范围" error="其他高校校聘兼职教授最高5分" promptTitle="其他高校校聘兼职教授" prompt="最高5分" sqref="J114">
      <formula1>0</formula1>
      <formula2>5</formula2>
    </dataValidation>
    <dataValidation type="whole" operator="between" allowBlank="1" showInputMessage="1" showErrorMessage="1" errorTitle="超出取值范围" error="其他高校校聘兼职导师、兼职讲师最高2分" promptTitle="其他高校校聘兼职导师、兼职讲师" prompt="最高2分" sqref="J115">
      <formula1>0</formula1>
      <formula2>2</formula2>
    </dataValidation>
    <dataValidation type="whole" operator="between" allowBlank="1" showInputMessage="1" showErrorMessage="1" errorTitle="超出取值范围" error="其他高校访问学者最高2分" promptTitle="其他高校访问学者" prompt="最高2分" sqref="J116">
      <formula1>0</formula1>
      <formula2>2</formula2>
    </dataValidation>
  </dataValidations>
  <pageMargins left="0.7" right="0.7" top="0.75" bottom="0.75" header="0.3" footer="0.3"/>
  <pageSetup paperSize="9" scale="54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企业用户</cp:lastModifiedBy>
  <dcterms:created xsi:type="dcterms:W3CDTF">2017-09-06T12:26:00Z</dcterms:created>
  <cp:lastPrinted>2025-07-18T04:49:00Z</cp:lastPrinted>
  <dcterms:modified xsi:type="dcterms:W3CDTF">2026-07-10T12:34:03Z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BAF328D9EAD94AC18E6FF0B08A47E19F_12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